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tables/table5.xml" ContentType="application/vnd.openxmlformats-officedocument.spreadsheetml.table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tables/table6.xml" ContentType="application/vnd.openxmlformats-officedocument.spreadsheetml.table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2"/>
  </bookViews>
  <sheets>
    <sheet name="Sales Forecast" sheetId="1" r:id="rId1"/>
    <sheet name="Initial Fixed Cost" sheetId="2" r:id="rId2"/>
    <sheet name="5 Yr Revenue-Cost" sheetId="3" r:id="rId3"/>
  </sheets>
  <calcPr calcId="145621"/>
</workbook>
</file>

<file path=xl/calcChain.xml><?xml version="1.0" encoding="utf-8"?>
<calcChain xmlns="http://schemas.openxmlformats.org/spreadsheetml/2006/main">
  <c r="D11" i="3" l="1"/>
  <c r="D24" i="3" s="1"/>
  <c r="E11" i="3"/>
  <c r="F11" i="3"/>
  <c r="D10" i="3"/>
  <c r="E10" i="3"/>
  <c r="F10" i="3"/>
  <c r="F9" i="3"/>
  <c r="F12" i="3" s="1"/>
  <c r="E9" i="3"/>
  <c r="E12" i="3" s="1"/>
  <c r="D9" i="3"/>
  <c r="C27" i="3"/>
  <c r="C26" i="3"/>
  <c r="C25" i="3"/>
  <c r="C10" i="3"/>
  <c r="E24" i="3"/>
  <c r="F24" i="3"/>
  <c r="C11" i="3"/>
  <c r="C24" i="3" s="1"/>
  <c r="C9" i="3"/>
  <c r="C23" i="3"/>
  <c r="D23" i="3"/>
  <c r="E23" i="3"/>
  <c r="F23" i="3"/>
  <c r="B27" i="3"/>
  <c r="B26" i="3"/>
  <c r="B25" i="3"/>
  <c r="B24" i="3"/>
  <c r="B23" i="3"/>
  <c r="B12" i="3"/>
  <c r="B11" i="3"/>
  <c r="D26" i="3" l="1"/>
  <c r="D27" i="3" s="1"/>
  <c r="D25" i="3"/>
  <c r="E26" i="3"/>
  <c r="E27" i="3" s="1"/>
  <c r="D12" i="3"/>
  <c r="E25" i="3"/>
  <c r="F25" i="3"/>
  <c r="F26" i="3" s="1"/>
  <c r="F27" i="3" s="1"/>
  <c r="C12" i="3"/>
  <c r="F3" i="3"/>
  <c r="F2" i="3"/>
  <c r="F4" i="3" s="1"/>
  <c r="F5" i="3" s="1"/>
  <c r="E2" i="3"/>
  <c r="E3" i="3"/>
  <c r="E4" i="3"/>
  <c r="E5" i="3" s="1"/>
  <c r="D3" i="3"/>
  <c r="D4" i="3"/>
  <c r="D5" i="3" s="1"/>
  <c r="D2" i="3"/>
  <c r="C5" i="3"/>
  <c r="C4" i="3"/>
  <c r="C3" i="3"/>
  <c r="C2" i="3"/>
  <c r="N4" i="1"/>
  <c r="N5" i="1"/>
  <c r="N6" i="1"/>
  <c r="N7" i="1"/>
  <c r="N8" i="1"/>
  <c r="N9" i="1"/>
  <c r="N10" i="1"/>
  <c r="N11" i="1"/>
  <c r="B5" i="3"/>
  <c r="B4" i="3"/>
  <c r="N40" i="1"/>
  <c r="N41" i="1"/>
  <c r="N42" i="1"/>
  <c r="N43" i="1"/>
  <c r="N44" i="1"/>
  <c r="N45" i="1"/>
  <c r="N46" i="1"/>
  <c r="N47" i="1"/>
  <c r="N48" i="1"/>
  <c r="B20" i="2"/>
  <c r="D44" i="1"/>
  <c r="E44" i="1"/>
  <c r="F44" i="1"/>
  <c r="G44" i="1"/>
  <c r="H44" i="1"/>
  <c r="I44" i="1"/>
  <c r="J44" i="1"/>
  <c r="K44" i="1"/>
  <c r="L44" i="1"/>
  <c r="M44" i="1"/>
  <c r="C44" i="1"/>
  <c r="B14" i="2"/>
  <c r="B23" i="1"/>
  <c r="I45" i="1"/>
  <c r="E45" i="1"/>
  <c r="M45" i="1"/>
  <c r="L45" i="1"/>
  <c r="K45" i="1"/>
  <c r="J45" i="1"/>
  <c r="H45" i="1"/>
  <c r="G45" i="1"/>
  <c r="F45" i="1"/>
  <c r="D45" i="1"/>
  <c r="C45" i="1"/>
  <c r="B45" i="1"/>
  <c r="M43" i="1"/>
  <c r="I43" i="1"/>
  <c r="E43" i="1"/>
  <c r="M42" i="1"/>
  <c r="I42" i="1"/>
  <c r="E42" i="1"/>
  <c r="M41" i="1"/>
  <c r="I41" i="1"/>
  <c r="E41" i="1"/>
  <c r="M6" i="1" l="1"/>
  <c r="L6" i="1"/>
  <c r="K6" i="1"/>
  <c r="J6" i="1"/>
  <c r="I6" i="1"/>
  <c r="H6" i="1"/>
  <c r="M4" i="1"/>
  <c r="L4" i="1"/>
  <c r="K4" i="1"/>
  <c r="J4" i="1"/>
  <c r="G6" i="1"/>
  <c r="H4" i="1"/>
  <c r="I4" i="1"/>
  <c r="G4" i="1"/>
  <c r="E6" i="1"/>
  <c r="D6" i="1"/>
  <c r="F6" i="1"/>
  <c r="F4" i="1"/>
  <c r="C6" i="1"/>
  <c r="C4" i="1"/>
  <c r="E4" i="1"/>
  <c r="D4" i="1"/>
  <c r="B44" i="1"/>
  <c r="C35" i="1"/>
  <c r="E23" i="1" l="1"/>
  <c r="F23" i="1"/>
  <c r="G23" i="1"/>
  <c r="H23" i="1"/>
  <c r="I23" i="1"/>
  <c r="J23" i="1"/>
  <c r="K23" i="1"/>
  <c r="L23" i="1"/>
  <c r="M23" i="1"/>
  <c r="E24" i="1"/>
  <c r="F24" i="1"/>
  <c r="G24" i="1"/>
  <c r="H24" i="1"/>
  <c r="I24" i="1"/>
  <c r="J24" i="1"/>
  <c r="K24" i="1"/>
  <c r="L24" i="1"/>
  <c r="M24" i="1"/>
  <c r="E25" i="1"/>
  <c r="F25" i="1"/>
  <c r="G25" i="1"/>
  <c r="H25" i="1"/>
  <c r="I25" i="1"/>
  <c r="J25" i="1"/>
  <c r="K25" i="1"/>
  <c r="L25" i="1"/>
  <c r="M25" i="1"/>
  <c r="E26" i="1"/>
  <c r="F26" i="1"/>
  <c r="G26" i="1"/>
  <c r="H26" i="1"/>
  <c r="I26" i="1"/>
  <c r="J26" i="1"/>
  <c r="K26" i="1"/>
  <c r="L26" i="1"/>
  <c r="M26" i="1"/>
  <c r="E27" i="1"/>
  <c r="F27" i="1"/>
  <c r="G27" i="1"/>
  <c r="H27" i="1"/>
  <c r="I27" i="1"/>
  <c r="J27" i="1"/>
  <c r="K27" i="1"/>
  <c r="L27" i="1"/>
  <c r="M27" i="1"/>
  <c r="E28" i="1"/>
  <c r="F28" i="1"/>
  <c r="G28" i="1"/>
  <c r="H28" i="1"/>
  <c r="I28" i="1"/>
  <c r="J28" i="1"/>
  <c r="K28" i="1"/>
  <c r="L28" i="1"/>
  <c r="M28" i="1"/>
  <c r="E29" i="1"/>
  <c r="F29" i="1"/>
  <c r="G29" i="1"/>
  <c r="H29" i="1"/>
  <c r="I29" i="1"/>
  <c r="J29" i="1"/>
  <c r="K29" i="1"/>
  <c r="L29" i="1"/>
  <c r="M29" i="1"/>
  <c r="D23" i="1"/>
  <c r="D24" i="1"/>
  <c r="D25" i="1"/>
  <c r="D26" i="1"/>
  <c r="D27" i="1"/>
  <c r="D28" i="1"/>
  <c r="D29" i="1"/>
  <c r="D33" i="1"/>
  <c r="E33" i="1"/>
  <c r="F33" i="1"/>
  <c r="G33" i="1"/>
  <c r="H33" i="1"/>
  <c r="I33" i="1"/>
  <c r="J33" i="1"/>
  <c r="K33" i="1"/>
  <c r="L33" i="1"/>
  <c r="M33" i="1"/>
  <c r="C34" i="1"/>
  <c r="D34" i="1"/>
  <c r="E34" i="1"/>
  <c r="F34" i="1"/>
  <c r="G34" i="1"/>
  <c r="H34" i="1"/>
  <c r="I34" i="1"/>
  <c r="J34" i="1"/>
  <c r="K34" i="1"/>
  <c r="L34" i="1"/>
  <c r="M34" i="1"/>
  <c r="D35" i="1"/>
  <c r="E35" i="1"/>
  <c r="F35" i="1"/>
  <c r="G35" i="1"/>
  <c r="H35" i="1"/>
  <c r="I35" i="1"/>
  <c r="J35" i="1"/>
  <c r="K35" i="1"/>
  <c r="L35" i="1"/>
  <c r="M35" i="1"/>
  <c r="D36" i="1"/>
  <c r="E36" i="1"/>
  <c r="F36" i="1"/>
  <c r="G36" i="1"/>
  <c r="H36" i="1"/>
  <c r="I36" i="1"/>
  <c r="J36" i="1"/>
  <c r="K36" i="1"/>
  <c r="L36" i="1"/>
  <c r="M36" i="1"/>
  <c r="C37" i="1"/>
  <c r="D37" i="1"/>
  <c r="E37" i="1"/>
  <c r="F37" i="1"/>
  <c r="G37" i="1"/>
  <c r="H37" i="1"/>
  <c r="I37" i="1"/>
  <c r="J37" i="1"/>
  <c r="K37" i="1"/>
  <c r="L37" i="1"/>
  <c r="M37" i="1"/>
  <c r="C38" i="1"/>
  <c r="D38" i="1"/>
  <c r="E38" i="1"/>
  <c r="F38" i="1"/>
  <c r="G38" i="1"/>
  <c r="H38" i="1"/>
  <c r="I38" i="1"/>
  <c r="J38" i="1"/>
  <c r="K38" i="1"/>
  <c r="L38" i="1"/>
  <c r="M38" i="1"/>
  <c r="C39" i="1"/>
  <c r="D39" i="1"/>
  <c r="E39" i="1"/>
  <c r="F39" i="1"/>
  <c r="G39" i="1"/>
  <c r="H39" i="1"/>
  <c r="I39" i="1"/>
  <c r="J39" i="1"/>
  <c r="K39" i="1"/>
  <c r="L39" i="1"/>
  <c r="M39" i="1"/>
  <c r="C24" i="1"/>
  <c r="C27" i="1"/>
  <c r="C28" i="1"/>
  <c r="C29" i="1"/>
  <c r="D11" i="1"/>
  <c r="E11" i="1"/>
  <c r="F11" i="1"/>
  <c r="G11" i="1"/>
  <c r="H11" i="1"/>
  <c r="I11" i="1"/>
  <c r="J11" i="1"/>
  <c r="K11" i="1"/>
  <c r="L11" i="1"/>
  <c r="M11" i="1"/>
  <c r="C7" i="1"/>
  <c r="C36" i="1" s="1"/>
  <c r="C25" i="1"/>
  <c r="B37" i="1"/>
  <c r="B6" i="1"/>
  <c r="B35" i="1" s="1"/>
  <c r="N35" i="1" s="1"/>
  <c r="B4" i="1"/>
  <c r="B39" i="1"/>
  <c r="B36" i="1"/>
  <c r="B34" i="1"/>
  <c r="N34" i="1" s="1"/>
  <c r="B33" i="1"/>
  <c r="B38" i="1"/>
  <c r="N38" i="1" s="1"/>
  <c r="B26" i="1"/>
  <c r="B27" i="1"/>
  <c r="N27" i="1" s="1"/>
  <c r="B28" i="1"/>
  <c r="B29" i="1"/>
  <c r="N29" i="1" s="1"/>
  <c r="B24" i="1"/>
  <c r="N39" i="1" l="1"/>
  <c r="N28" i="1"/>
  <c r="N24" i="1"/>
  <c r="N36" i="1"/>
  <c r="N37" i="1"/>
  <c r="C11" i="1"/>
  <c r="C26" i="1"/>
  <c r="N26" i="1" s="1"/>
  <c r="L30" i="1"/>
  <c r="M49" i="1"/>
  <c r="I49" i="1"/>
  <c r="E49" i="1"/>
  <c r="L49" i="1"/>
  <c r="H49" i="1"/>
  <c r="D49" i="1"/>
  <c r="K49" i="1"/>
  <c r="G49" i="1"/>
  <c r="J49" i="1"/>
  <c r="F49" i="1"/>
  <c r="H30" i="1"/>
  <c r="E30" i="1"/>
  <c r="F30" i="1"/>
  <c r="B11" i="1"/>
  <c r="D30" i="1"/>
  <c r="C33" i="1"/>
  <c r="C49" i="1" s="1"/>
  <c r="K30" i="1"/>
  <c r="G30" i="1"/>
  <c r="M30" i="1"/>
  <c r="I30" i="1"/>
  <c r="J30" i="1"/>
  <c r="C23" i="1"/>
  <c r="N23" i="1" s="1"/>
  <c r="B49" i="1"/>
  <c r="B25" i="1"/>
  <c r="N25" i="1" s="1"/>
  <c r="N33" i="1" l="1"/>
  <c r="O39" i="1" s="1"/>
  <c r="N49" i="1"/>
  <c r="G51" i="1"/>
  <c r="L51" i="1"/>
  <c r="H51" i="1"/>
  <c r="I51" i="1"/>
  <c r="C30" i="1"/>
  <c r="C51" i="1" s="1"/>
  <c r="M51" i="1"/>
  <c r="K51" i="1"/>
  <c r="J51" i="1"/>
  <c r="E51" i="1"/>
  <c r="D51" i="1"/>
  <c r="F51" i="1"/>
  <c r="B30" i="1"/>
  <c r="N30" i="1" s="1"/>
  <c r="B51" i="1" l="1"/>
  <c r="N51" i="1"/>
  <c r="N52" i="1" s="1"/>
  <c r="N53" i="1" l="1"/>
</calcChain>
</file>

<file path=xl/comments1.xml><?xml version="1.0" encoding="utf-8"?>
<comments xmlns="http://schemas.openxmlformats.org/spreadsheetml/2006/main">
  <authors>
    <author>Suhel</author>
  </authors>
  <commentList>
    <comment ref="E41" authorId="0">
      <text>
        <r>
          <rPr>
            <b/>
            <sz val="9"/>
            <color indexed="81"/>
            <rFont val="Tahoma"/>
            <family val="2"/>
          </rPr>
          <t>Suhel:</t>
        </r>
        <r>
          <rPr>
            <sz val="9"/>
            <color indexed="81"/>
            <rFont val="Tahoma"/>
            <family val="2"/>
          </rPr>
          <t xml:space="preserve">
Decimo 3er mes</t>
        </r>
      </text>
    </comment>
    <comment ref="I41" authorId="0">
      <text>
        <r>
          <rPr>
            <b/>
            <sz val="9"/>
            <color indexed="81"/>
            <rFont val="Tahoma"/>
            <family val="2"/>
          </rPr>
          <t>Suhel:</t>
        </r>
        <r>
          <rPr>
            <sz val="9"/>
            <color indexed="81"/>
            <rFont val="Tahoma"/>
            <family val="2"/>
          </rPr>
          <t xml:space="preserve">
Decimo 3er mes</t>
        </r>
      </text>
    </comment>
    <comment ref="M41" authorId="0">
      <text>
        <r>
          <rPr>
            <b/>
            <sz val="9"/>
            <color indexed="81"/>
            <rFont val="Tahoma"/>
            <family val="2"/>
          </rPr>
          <t>Suhel:</t>
        </r>
        <r>
          <rPr>
            <sz val="9"/>
            <color indexed="81"/>
            <rFont val="Tahoma"/>
            <family val="2"/>
          </rPr>
          <t xml:space="preserve">
Decimo 3er mes.</t>
        </r>
      </text>
    </comment>
    <comment ref="E42" authorId="0">
      <text>
        <r>
          <rPr>
            <b/>
            <sz val="9"/>
            <color indexed="81"/>
            <rFont val="Tahoma"/>
            <family val="2"/>
          </rPr>
          <t>Suhel:</t>
        </r>
        <r>
          <rPr>
            <sz val="9"/>
            <color indexed="81"/>
            <rFont val="Tahoma"/>
            <family val="2"/>
          </rPr>
          <t xml:space="preserve">
Decimo 3er mes</t>
        </r>
      </text>
    </comment>
    <comment ref="I42" authorId="0">
      <text>
        <r>
          <rPr>
            <b/>
            <sz val="9"/>
            <color indexed="81"/>
            <rFont val="Tahoma"/>
            <family val="2"/>
          </rPr>
          <t>Suhel:</t>
        </r>
        <r>
          <rPr>
            <sz val="9"/>
            <color indexed="81"/>
            <rFont val="Tahoma"/>
            <family val="2"/>
          </rPr>
          <t xml:space="preserve">
Decimo 3er mes.</t>
        </r>
      </text>
    </comment>
    <comment ref="M42" authorId="0">
      <text>
        <r>
          <rPr>
            <b/>
            <sz val="9"/>
            <color indexed="81"/>
            <rFont val="Tahoma"/>
            <family val="2"/>
          </rPr>
          <t>Suhel:</t>
        </r>
        <r>
          <rPr>
            <sz val="9"/>
            <color indexed="81"/>
            <rFont val="Tahoma"/>
            <family val="2"/>
          </rPr>
          <t xml:space="preserve">
Decimo 3er mes
</t>
        </r>
      </text>
    </comment>
    <comment ref="E43" authorId="0">
      <text>
        <r>
          <rPr>
            <b/>
            <sz val="9"/>
            <color indexed="81"/>
            <rFont val="Tahoma"/>
            <family val="2"/>
          </rPr>
          <t>Suhel:</t>
        </r>
        <r>
          <rPr>
            <sz val="9"/>
            <color indexed="81"/>
            <rFont val="Tahoma"/>
            <family val="2"/>
          </rPr>
          <t xml:space="preserve">
Decimo 3er mes
</t>
        </r>
      </text>
    </comment>
    <comment ref="I43" authorId="0">
      <text>
        <r>
          <rPr>
            <b/>
            <sz val="9"/>
            <color indexed="81"/>
            <rFont val="Tahoma"/>
            <family val="2"/>
          </rPr>
          <t>Suhel:</t>
        </r>
        <r>
          <rPr>
            <sz val="9"/>
            <color indexed="81"/>
            <rFont val="Tahoma"/>
            <family val="2"/>
          </rPr>
          <t xml:space="preserve">
Decimo 3er mes</t>
        </r>
      </text>
    </comment>
    <comment ref="M43" authorId="0">
      <text>
        <r>
          <rPr>
            <b/>
            <sz val="9"/>
            <color indexed="81"/>
            <rFont val="Tahoma"/>
            <family val="2"/>
          </rPr>
          <t>Suhel:</t>
        </r>
        <r>
          <rPr>
            <sz val="9"/>
            <color indexed="81"/>
            <rFont val="Tahoma"/>
            <family val="2"/>
          </rPr>
          <t xml:space="preserve">
Decimo 3er mes</t>
        </r>
      </text>
    </comment>
    <comment ref="E45" authorId="0">
      <text>
        <r>
          <rPr>
            <b/>
            <sz val="9"/>
            <color indexed="81"/>
            <rFont val="Tahoma"/>
            <family val="2"/>
          </rPr>
          <t>Suhel:</t>
        </r>
        <r>
          <rPr>
            <sz val="9"/>
            <color indexed="81"/>
            <rFont val="Tahoma"/>
            <family val="2"/>
          </rPr>
          <t xml:space="preserve">
Decimo 3er mes, Panamanian law .</t>
        </r>
      </text>
    </comment>
    <comment ref="I45" authorId="0">
      <text>
        <r>
          <rPr>
            <b/>
            <sz val="9"/>
            <color indexed="81"/>
            <rFont val="Tahoma"/>
            <family val="2"/>
          </rPr>
          <t>Suhel:</t>
        </r>
        <r>
          <rPr>
            <sz val="9"/>
            <color indexed="81"/>
            <rFont val="Tahoma"/>
            <family val="2"/>
          </rPr>
          <t xml:space="preserve">
Decimo 3er Mes, Panamanian law</t>
        </r>
      </text>
    </comment>
    <comment ref="M45" authorId="0">
      <text>
        <r>
          <rPr>
            <b/>
            <sz val="9"/>
            <color indexed="81"/>
            <rFont val="Tahoma"/>
            <family val="2"/>
          </rPr>
          <t>Suhel:</t>
        </r>
        <r>
          <rPr>
            <sz val="9"/>
            <color indexed="81"/>
            <rFont val="Tahoma"/>
            <family val="2"/>
          </rPr>
          <t xml:space="preserve">
Decimo 3er mes</t>
        </r>
      </text>
    </comment>
    <comment ref="A48" authorId="0">
      <text>
        <r>
          <rPr>
            <b/>
            <sz val="9"/>
            <color indexed="81"/>
            <rFont val="Tahoma"/>
            <family val="2"/>
          </rPr>
          <t>Suhel:</t>
        </r>
        <r>
          <rPr>
            <sz val="9"/>
            <color indexed="81"/>
            <rFont val="Tahoma"/>
            <family val="2"/>
          </rPr>
          <t xml:space="preserve">
Includes: Electricity , waterand gas cost any other unexpected monthly cost.</t>
        </r>
      </text>
    </comment>
  </commentList>
</comments>
</file>

<file path=xl/comments2.xml><?xml version="1.0" encoding="utf-8"?>
<comments xmlns="http://schemas.openxmlformats.org/spreadsheetml/2006/main">
  <authors>
    <author>Suhel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includes: ovens, stoves, refrigerators, freezers, slicers, steam tables, prep tables, pots, pans and cooking utensils.
</t>
        </r>
      </text>
    </comment>
    <comment ref="A5" authorId="0">
      <text>
        <r>
          <rPr>
            <b/>
            <sz val="9"/>
            <color indexed="81"/>
            <rFont val="Tahoma"/>
            <family val="2"/>
          </rPr>
          <t>Suhel:</t>
        </r>
        <r>
          <rPr>
            <sz val="9"/>
            <color indexed="81"/>
            <rFont val="Tahoma"/>
            <family val="2"/>
          </rPr>
          <t xml:space="preserve">
Includes floor and wall covering, Bathroom deco.</t>
        </r>
      </text>
    </comment>
    <comment ref="A10" authorId="0">
      <text>
        <r>
          <rPr>
            <sz val="9"/>
            <color indexed="81"/>
            <rFont val="Tahoma"/>
            <family val="2"/>
          </rPr>
          <t xml:space="preserve">Dishes , glasswater and utensils.
</t>
        </r>
      </text>
    </comment>
  </commentList>
</comments>
</file>

<file path=xl/comments3.xml><?xml version="1.0" encoding="utf-8"?>
<comments xmlns="http://schemas.openxmlformats.org/spreadsheetml/2006/main">
  <authors>
    <author>Suhel</author>
  </authors>
  <commentList>
    <comment ref="A22" authorId="0">
      <text>
        <r>
          <rPr>
            <b/>
            <sz val="9"/>
            <color indexed="81"/>
            <rFont val="Tahoma"/>
            <family val="2"/>
          </rPr>
          <t>Suhel:</t>
        </r>
        <r>
          <rPr>
            <sz val="9"/>
            <color indexed="81"/>
            <rFont val="Tahoma"/>
            <family val="2"/>
          </rPr>
          <t xml:space="preserve">
Includes: Electricity , waterand gas cost any other unexpected monthly cost.</t>
        </r>
      </text>
    </comment>
  </commentList>
</comments>
</file>

<file path=xl/sharedStrings.xml><?xml version="1.0" encoding="utf-8"?>
<sst xmlns="http://schemas.openxmlformats.org/spreadsheetml/2006/main" count="155" uniqueCount="78">
  <si>
    <t>Lunch</t>
  </si>
  <si>
    <t>Meal</t>
  </si>
  <si>
    <t>Unit Sales</t>
  </si>
  <si>
    <t>Hookah</t>
  </si>
  <si>
    <t>Lunch Beverages</t>
  </si>
  <si>
    <t>Meal Beverages</t>
  </si>
  <si>
    <t>Other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</si>
  <si>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</si>
  <si>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</si>
  <si>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</si>
  <si>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</si>
  <si>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</si>
  <si>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</si>
  <si>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</si>
  <si>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</si>
  <si>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</si>
  <si>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</si>
  <si>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</si>
  <si>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</si>
  <si>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Liquor</t>
  </si>
  <si>
    <t>Total Units Sold</t>
  </si>
  <si>
    <t>Unit Price</t>
  </si>
  <si>
    <t>Sales</t>
  </si>
  <si>
    <t>Total Sales</t>
  </si>
  <si>
    <t>Cost of Sales</t>
  </si>
  <si>
    <t>Chef</t>
  </si>
  <si>
    <t>Manager</t>
  </si>
  <si>
    <t>Supervisor</t>
  </si>
  <si>
    <t>Other Cost</t>
  </si>
  <si>
    <t>Total Cost</t>
  </si>
  <si>
    <t>Dancer (3)</t>
  </si>
  <si>
    <t>Rent</t>
  </si>
  <si>
    <t>Estimated Profit</t>
  </si>
  <si>
    <t>Employees(25)</t>
  </si>
  <si>
    <t>Fixed Cost</t>
  </si>
  <si>
    <t>Cold Room</t>
  </si>
  <si>
    <t>Utilities</t>
  </si>
  <si>
    <t>Cooking Equipment </t>
  </si>
  <si>
    <t>Design and Decoration</t>
  </si>
  <si>
    <t>Liquor Permit</t>
  </si>
  <si>
    <t>Pre-Marketing</t>
  </si>
  <si>
    <t>Profit After Tax</t>
  </si>
  <si>
    <t>Advertising</t>
  </si>
  <si>
    <t>TAX (27.5%)</t>
  </si>
  <si>
    <t>Total Fixed Cost</t>
  </si>
  <si>
    <t>Columna1</t>
  </si>
  <si>
    <t>Estimated Expense</t>
  </si>
  <si>
    <t>Total</t>
  </si>
  <si>
    <t>Accounting</t>
  </si>
  <si>
    <t>License &amp; Other Legal Issue</t>
  </si>
  <si>
    <t>Music/Stereo/TV</t>
  </si>
  <si>
    <t>Cash Register/Software</t>
  </si>
  <si>
    <t>Lighting &amp; Lamps (Materials/Labor)</t>
  </si>
  <si>
    <t>Uniforms</t>
  </si>
  <si>
    <t>Furniture/ Tables &amp; Chairs</t>
  </si>
  <si>
    <t>Training</t>
  </si>
  <si>
    <t>Insurance</t>
  </si>
  <si>
    <t>Office Supplies</t>
  </si>
  <si>
    <t>Cash to Operate</t>
  </si>
  <si>
    <t>Total Assets</t>
  </si>
  <si>
    <t>Total Cost/ Year</t>
  </si>
  <si>
    <t>Year 1</t>
  </si>
  <si>
    <t>Total Revenue</t>
  </si>
  <si>
    <t>Year 2</t>
  </si>
  <si>
    <t>Year 3</t>
  </si>
  <si>
    <t>Year 4</t>
  </si>
  <si>
    <t>Year 5</t>
  </si>
  <si>
    <t>Profit Before Tax</t>
  </si>
  <si>
    <t>Net Profit</t>
  </si>
  <si>
    <t xml:space="preserve">Total Cost </t>
  </si>
  <si>
    <t>Namaste Restaurant Sales Forecast</t>
  </si>
  <si>
    <t>Direct Cost of Sales</t>
  </si>
  <si>
    <t>Gross Profit</t>
  </si>
  <si>
    <t>Gross Profit (%)</t>
  </si>
  <si>
    <t>Expenses</t>
  </si>
  <si>
    <t>Total Operating Expenses</t>
  </si>
  <si>
    <t>Tax (27.5%)</t>
  </si>
  <si>
    <t>Net Profit/Sales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</si>
</sst>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1004]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Agency FB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mbria"/>
      <family val="1"/>
      <scheme val="major"/>
    </font>
    <font>
      <sz val="11"/>
      <color rgb="FF000000"/>
      <name val="Cambria"/>
      <family val="1"/>
      <scheme val="major"/>
    </font>
    <font>
      <b/>
      <sz val="11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0" fillId="0" borderId="0" xfId="0" applyNumberFormat="1"/>
    <xf numFmtId="0" fontId="1" fillId="0" borderId="0" xfId="0" applyNumberFormat="1" applyFont="1"/>
    <xf numFmtId="0" fontId="1" fillId="0" borderId="1" xfId="0" applyFont="1" applyBorder="1"/>
    <xf numFmtId="0" fontId="1" fillId="0" borderId="2" xfId="0" applyNumberFormat="1" applyFont="1" applyBorder="1"/>
    <xf numFmtId="0" fontId="1" fillId="0" borderId="3" xfId="0" applyNumberFormat="1" applyFont="1" applyBorder="1"/>
    <xf numFmtId="164" fontId="1" fillId="0" borderId="2" xfId="0" applyNumberFormat="1" applyFont="1" applyBorder="1"/>
    <xf numFmtId="164" fontId="1" fillId="0" borderId="3" xfId="0" applyNumberFormat="1" applyFont="1" applyBorder="1"/>
    <xf numFmtId="0" fontId="3" fillId="3" borderId="0" xfId="1" applyFont="1" applyFill="1"/>
    <xf numFmtId="164" fontId="3" fillId="3" borderId="0" xfId="1" applyNumberFormat="1" applyFont="1" applyFill="1"/>
    <xf numFmtId="0" fontId="7" fillId="0" borderId="0" xfId="0" applyFont="1"/>
    <xf numFmtId="0" fontId="8" fillId="0" borderId="0" xfId="0" applyFont="1"/>
    <xf numFmtId="164" fontId="0" fillId="0" borderId="0" xfId="0" applyNumberFormat="1" applyFont="1"/>
    <xf numFmtId="0" fontId="7" fillId="0" borderId="4" xfId="0" applyFont="1" applyBorder="1"/>
    <xf numFmtId="164" fontId="0" fillId="0" borderId="4" xfId="0" applyNumberFormat="1" applyBorder="1"/>
    <xf numFmtId="0" fontId="9" fillId="0" borderId="5" xfId="0" applyFont="1" applyBorder="1"/>
    <xf numFmtId="164" fontId="1" fillId="0" borderId="6" xfId="0" applyNumberFormat="1" applyFont="1" applyBorder="1"/>
    <xf numFmtId="164" fontId="0" fillId="0" borderId="0" xfId="0" applyNumberFormat="1" applyBorder="1"/>
    <xf numFmtId="164" fontId="1" fillId="0" borderId="0" xfId="0" applyNumberFormat="1" applyFont="1" applyBorder="1"/>
    <xf numFmtId="164" fontId="0" fillId="0" borderId="8" xfId="0" applyNumberFormat="1" applyBorder="1"/>
    <xf numFmtId="0" fontId="7" fillId="0" borderId="0" xfId="0" applyFont="1" applyBorder="1"/>
    <xf numFmtId="0" fontId="9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1" fillId="0" borderId="15" xfId="0" applyNumberFormat="1" applyFont="1" applyBorder="1"/>
    <xf numFmtId="10" fontId="1" fillId="0" borderId="13" xfId="0" applyNumberFormat="1" applyFont="1" applyBorder="1" applyAlignment="1">
      <alignment horizontal="center"/>
    </xf>
    <xf numFmtId="0" fontId="1" fillId="0" borderId="11" xfId="0" applyFont="1" applyBorder="1"/>
    <xf numFmtId="0" fontId="0" fillId="0" borderId="11" xfId="0" applyBorder="1"/>
    <xf numFmtId="0" fontId="0" fillId="0" borderId="11" xfId="0" applyFont="1" applyBorder="1"/>
    <xf numFmtId="0" fontId="0" fillId="4" borderId="11" xfId="0" applyFont="1" applyFill="1" applyBorder="1"/>
    <xf numFmtId="0" fontId="1" fillId="4" borderId="11" xfId="0" applyFont="1" applyFill="1" applyBorder="1"/>
    <xf numFmtId="164" fontId="1" fillId="5" borderId="11" xfId="0" applyNumberFormat="1" applyFont="1" applyFill="1" applyBorder="1"/>
    <xf numFmtId="164" fontId="0" fillId="5" borderId="11" xfId="0" applyNumberFormat="1" applyFont="1" applyFill="1" applyBorder="1"/>
    <xf numFmtId="164" fontId="0" fillId="0" borderId="11" xfId="0" applyNumberFormat="1" applyBorder="1"/>
    <xf numFmtId="164" fontId="0" fillId="0" borderId="11" xfId="0" applyNumberFormat="1" applyFont="1" applyBorder="1"/>
    <xf numFmtId="164" fontId="0" fillId="4" borderId="11" xfId="0" applyNumberFormat="1" applyFont="1" applyFill="1" applyBorder="1"/>
    <xf numFmtId="164" fontId="1" fillId="0" borderId="13" xfId="0" applyNumberFormat="1" applyFont="1" applyBorder="1"/>
    <xf numFmtId="10" fontId="0" fillId="0" borderId="13" xfId="0" applyNumberFormat="1" applyBorder="1" applyAlignment="1">
      <alignment horizontal="center"/>
    </xf>
    <xf numFmtId="164" fontId="1" fillId="0" borderId="17" xfId="0" applyNumberFormat="1" applyFont="1" applyBorder="1"/>
    <xf numFmtId="164" fontId="0" fillId="0" borderId="16" xfId="0" applyNumberFormat="1" applyBorder="1"/>
  </cellXfs>
  <cellStyles count="2">
    <cellStyle name="Énfasis2" xfId="1" builtinId="33"/>
    <cellStyle name="Normal" xfId="0" builtinId="0"/>
  </cellStyles>
  <dxfs count="55">
    <dxf>
      <numFmt numFmtId="164" formatCode="[$$-1004]#,##0.00"/>
    </dxf>
    <dxf>
      <numFmt numFmtId="164" formatCode="[$$-1004]#,##0.00"/>
    </dxf>
    <dxf>
      <numFmt numFmtId="164" formatCode="[$$-1004]#,##0.00"/>
    </dxf>
    <dxf>
      <numFmt numFmtId="164" formatCode="[$$-1004]#,##0.00"/>
    </dxf>
    <dxf>
      <numFmt numFmtId="164" formatCode="[$$-1004]#,##0.00"/>
    </dxf>
    <dxf>
      <numFmt numFmtId="164" formatCode="[$$-1004]#,##0.00"/>
    </dxf>
    <dxf>
      <numFmt numFmtId="164" formatCode="[$$-1004]#,##0.00"/>
    </dxf>
    <dxf>
      <numFmt numFmtId="164" formatCode="[$$-1004]#,##0.00"/>
    </dxf>
    <dxf>
      <numFmt numFmtId="164" formatCode="[$$-1004]#,##0.00"/>
    </dxf>
    <dxf>
      <numFmt numFmtId="164" formatCode="[$$-1004]#,##0.00"/>
    </dxf>
    <dxf>
      <numFmt numFmtId="164" formatCode="[$$-1004]#,##0.00"/>
    </dxf>
    <dxf>
      <numFmt numFmtId="164" formatCode="[$$-1004]#,##0.00"/>
    </dxf>
    <dxf>
      <numFmt numFmtId="164" formatCode="[$$-1004]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5" formatCode="&quot;B/.&quot;\ #,##0.00"/>
    </dxf>
    <dxf>
      <numFmt numFmtId="165" formatCode="&quot;B/.&quot;\ #,##0.00"/>
    </dxf>
    <dxf>
      <numFmt numFmtId="165" formatCode="&quot;B/.&quot;\ #,##0.00"/>
    </dxf>
    <dxf>
      <numFmt numFmtId="165" formatCode="&quot;B/.&quot;\ #,##0.00"/>
    </dxf>
    <dxf>
      <numFmt numFmtId="165" formatCode="&quot;B/.&quot;\ #,##0.00"/>
    </dxf>
    <dxf>
      <font>
        <b/>
      </font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164" formatCode="[$$-1004]#,##0.00"/>
    </dxf>
    <dxf>
      <numFmt numFmtId="164" formatCode="[$$-1004]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numFmt numFmtId="164" formatCode="[$$-1004]#,##0.00"/>
    </dxf>
    <dxf>
      <numFmt numFmtId="164" formatCode="[$$-1004]#,##0.00"/>
    </dxf>
    <dxf>
      <numFmt numFmtId="164" formatCode="[$$-1004]#,##0.00"/>
    </dxf>
    <dxf>
      <numFmt numFmtId="164" formatCode="[$$-1004]#,##0.00"/>
    </dxf>
    <dxf>
      <numFmt numFmtId="164" formatCode="[$$-1004]#,##0.00"/>
    </dxf>
    <dxf>
      <numFmt numFmtId="164" formatCode="[$$-1004]#,##0.00"/>
    </dxf>
    <dxf>
      <numFmt numFmtId="164" formatCode="[$$-1004]#,##0.00"/>
    </dxf>
    <dxf>
      <numFmt numFmtId="164" formatCode="[$$-1004]#,##0.00"/>
    </dxf>
    <dxf>
      <numFmt numFmtId="164" formatCode="[$$-1004]#,##0.00"/>
    </dxf>
    <dxf>
      <numFmt numFmtId="164" formatCode="[$$-1004]#,##0.00"/>
    </dxf>
    <dxf>
      <numFmt numFmtId="164" formatCode="[$$-1004]#,##0.00"/>
    </dxf>
    <dxf>
      <numFmt numFmtId="164" formatCode="[$$-1004]#,##0.00"/>
    </dxf>
    <dxf>
      <numFmt numFmtId="164" formatCode="[$$-1004]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numFmt numFmtId="164" formatCode="[$$-1004]#,##0.00"/>
    </dxf>
    <dxf>
      <numFmt numFmtId="164" formatCode="[$$-1004]#,##0.00"/>
    </dxf>
    <dxf>
      <numFmt numFmtId="164" formatCode="[$$-1004]#,##0.00"/>
    </dxf>
    <dxf>
      <numFmt numFmtId="164" formatCode="[$$-1004]#,##0.00"/>
    </dxf>
    <dxf>
      <numFmt numFmtId="164" formatCode="[$$-1004]#,##0.00"/>
    </dxf>
    <dxf>
      <numFmt numFmtId="164" formatCode="[$$-1004]#,##0.00"/>
    </dxf>
    <dxf>
      <numFmt numFmtId="164" formatCode="[$$-1004]#,##0.00"/>
    </dxf>
    <dxf>
      <numFmt numFmtId="164" formatCode="[$$-1004]#,##0.00"/>
    </dxf>
    <dxf>
      <numFmt numFmtId="164" formatCode="[$$-1004]#,##0.00"/>
    </dxf>
    <dxf>
      <numFmt numFmtId="164" formatCode="[$$-1004]#,##0.00"/>
    </dxf>
    <dxf>
      <numFmt numFmtId="164" formatCode="[$$-1004]#,##0.00"/>
    </dxf>
    <dxf>
      <numFmt numFmtId="164" formatCode="[$$-1004]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A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Net</a:t>
            </a:r>
            <a:r>
              <a:rPr lang="en-US" baseline="0"/>
              <a:t> Profit</a:t>
            </a:r>
            <a:endParaRPr lang="en-US"/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 Yr Revenue-Cost'!$B$1</c:f>
              <c:strCache>
                <c:ptCount val="1"/>
                <c:pt idx="0">
                  <c:v>Year 1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'5 Yr Revenue-Cost'!$A$5</c:f>
              <c:strCache>
                <c:ptCount val="1"/>
                <c:pt idx="0">
                  <c:v>Net Profit</c:v>
                </c:pt>
              </c:strCache>
            </c:strRef>
          </c:cat>
          <c:val>
            <c:numRef>
              <c:f>'5 Yr Revenue-Cost'!$B$5</c:f>
              <c:numCache>
                <c:formatCode>[$$-1004]#,##0.00</c:formatCode>
                <c:ptCount val="1"/>
                <c:pt idx="0">
                  <c:v>170173.93575000012</c:v>
                </c:pt>
              </c:numCache>
            </c:numRef>
          </c:val>
        </c:ser>
        <c:ser>
          <c:idx val="1"/>
          <c:order val="1"/>
          <c:tx>
            <c:strRef>
              <c:f>'5 Yr Revenue-Cost'!$C$1</c:f>
              <c:strCache>
                <c:ptCount val="1"/>
                <c:pt idx="0">
                  <c:v>Year 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'5 Yr Revenue-Cost'!$A$5</c:f>
              <c:strCache>
                <c:ptCount val="1"/>
                <c:pt idx="0">
                  <c:v>Net Profit</c:v>
                </c:pt>
              </c:strCache>
            </c:strRef>
          </c:cat>
          <c:val>
            <c:numRef>
              <c:f>'5 Yr Revenue-Cost'!$C$5</c:f>
              <c:numCache>
                <c:formatCode>[$$-1004]#,##0.00</c:formatCode>
                <c:ptCount val="1"/>
                <c:pt idx="0">
                  <c:v>266594.53500000038</c:v>
                </c:pt>
              </c:numCache>
            </c:numRef>
          </c:val>
        </c:ser>
        <c:ser>
          <c:idx val="2"/>
          <c:order val="2"/>
          <c:tx>
            <c:strRef>
              <c:f>'5 Yr Revenue-Cost'!$D$1</c:f>
              <c:strCache>
                <c:ptCount val="1"/>
                <c:pt idx="0">
                  <c:v>Year 3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'5 Yr Revenue-Cost'!$A$5</c:f>
              <c:strCache>
                <c:ptCount val="1"/>
                <c:pt idx="0">
                  <c:v>Net Profit</c:v>
                </c:pt>
              </c:strCache>
            </c:strRef>
          </c:cat>
          <c:val>
            <c:numRef>
              <c:f>'5 Yr Revenue-Cost'!$D$5</c:f>
              <c:numCache>
                <c:formatCode>[$$-1004]#,##0.00</c:formatCode>
                <c:ptCount val="1"/>
                <c:pt idx="0">
                  <c:v>367668.96000000072</c:v>
                </c:pt>
              </c:numCache>
            </c:numRef>
          </c:val>
        </c:ser>
        <c:ser>
          <c:idx val="3"/>
          <c:order val="3"/>
          <c:tx>
            <c:strRef>
              <c:f>'5 Yr Revenue-Cost'!$E$1</c:f>
              <c:strCache>
                <c:ptCount val="1"/>
                <c:pt idx="0">
                  <c:v>Year 4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'5 Yr Revenue-Cost'!$A$5</c:f>
              <c:strCache>
                <c:ptCount val="1"/>
                <c:pt idx="0">
                  <c:v>Net Profit</c:v>
                </c:pt>
              </c:strCache>
            </c:strRef>
          </c:cat>
          <c:val>
            <c:numRef>
              <c:f>'5 Yr Revenue-Cost'!$E$5</c:f>
              <c:numCache>
                <c:formatCode>[$$-1004]#,##0.00</c:formatCode>
                <c:ptCount val="1"/>
                <c:pt idx="0">
                  <c:v>390649.4832150006</c:v>
                </c:pt>
              </c:numCache>
            </c:numRef>
          </c:val>
        </c:ser>
        <c:ser>
          <c:idx val="4"/>
          <c:order val="4"/>
          <c:tx>
            <c:strRef>
              <c:f>'5 Yr Revenue-Cost'!$F$1</c:f>
              <c:strCache>
                <c:ptCount val="1"/>
                <c:pt idx="0">
                  <c:v>Year 5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'5 Yr Revenue-Cost'!$A$5</c:f>
              <c:strCache>
                <c:ptCount val="1"/>
                <c:pt idx="0">
                  <c:v>Net Profit</c:v>
                </c:pt>
              </c:strCache>
            </c:strRef>
          </c:cat>
          <c:val>
            <c:numRef>
              <c:f>'5 Yr Revenue-Cost'!$F$5</c:f>
              <c:numCache>
                <c:formatCode>[$$-1004]#,##0.00</c:formatCode>
                <c:ptCount val="1"/>
                <c:pt idx="0">
                  <c:v>392602.69082827511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605568"/>
        <c:axId val="44769664"/>
      </c:barChart>
      <c:catAx>
        <c:axId val="84605568"/>
        <c:scaling>
          <c:orientation val="minMax"/>
        </c:scaling>
        <c:delete val="0"/>
        <c:axPos val="b"/>
        <c:majorTickMark val="out"/>
        <c:minorTickMark val="none"/>
        <c:tickLblPos val="nextTo"/>
        <c:crossAx val="44769664"/>
        <c:crosses val="autoZero"/>
        <c:auto val="1"/>
        <c:lblAlgn val="ctr"/>
        <c:lblOffset val="100"/>
        <c:noMultiLvlLbl val="0"/>
      </c:catAx>
      <c:valAx>
        <c:axId val="44769664"/>
        <c:scaling>
          <c:orientation val="minMax"/>
        </c:scaling>
        <c:delete val="0"/>
        <c:axPos val="l"/>
        <c:majorGridlines/>
        <c:numFmt formatCode="[$$-1004]#,##0.00" sourceLinked="1"/>
        <c:majorTickMark val="out"/>
        <c:minorTickMark val="none"/>
        <c:tickLblPos val="nextTo"/>
        <c:crossAx val="84605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5</xdr:row>
      <xdr:rowOff>147637</xdr:rowOff>
    </xdr:from>
    <xdr:to>
      <xdr:col>13</xdr:col>
      <xdr:colOff>85725</xdr:colOff>
      <xdr:row>20</xdr:row>
      <xdr:rowOff>33337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3:N11" totalsRowShown="0" headerRowDxfId="54">
  <autoFilter ref="A3:N11"/>
  <tableColumns count="14">
    <tableColumn id="1" name="Unit Sales"/>
    <tableColumn id="2" name="Jan" dataDxfId="53"/>
    <tableColumn id="3" name="Feb"/>
    <tableColumn id="4" name="Mar"/>
    <tableColumn id="5" name="Apr"/>
    <tableColumn id="6" name="May"/>
    <tableColumn id="7" name="Jun"/>
    <tableColumn id="8" name="Jul"/>
    <tableColumn id="9" name="Aug"/>
    <tableColumn id="10" name="Sep"/>
    <tableColumn id="11" name="Oct"/>
    <tableColumn id="12" name="Nov"/>
    <tableColumn id="13" name="Dec"/>
    <tableColumn id="14" name="Total" dataDxfId="52">
      <calculatedColumnFormula>SUM(Tabla1[[#This Row],[Jan]:[Dec]])</calculatedColumn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3:M20" totalsRowShown="0" headerRowDxfId="51">
  <autoFilter ref="A13:M20"/>
  <tableColumns count="13">
    <tableColumn id="1" name="Unit Price"/>
    <tableColumn id="2" name="Jan" dataDxfId="50"/>
    <tableColumn id="3" name="Feb" dataDxfId="49"/>
    <tableColumn id="4" name="Mar" dataDxfId="48"/>
    <tableColumn id="5" name="Apr" dataDxfId="47"/>
    <tableColumn id="6" name="May" dataDxfId="46"/>
    <tableColumn id="7" name="Jun" dataDxfId="45"/>
    <tableColumn id="8" name="Jul" dataDxfId="44"/>
    <tableColumn id="9" name="Aug" dataDxfId="43"/>
    <tableColumn id="10" name="Sep" dataDxfId="42"/>
    <tableColumn id="11" name="Oct" dataDxfId="41"/>
    <tableColumn id="12" name="Nov" dataDxfId="40"/>
    <tableColumn id="13" name="Dec" dataDxfId="39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A22:N30" totalsRowShown="0" headerRowDxfId="38">
  <autoFilter ref="A22:N30"/>
  <tableColumns count="14">
    <tableColumn id="1" name="Sales"/>
    <tableColumn id="2" name="Jan" dataDxfId="37"/>
    <tableColumn id="3" name="Feb" dataDxfId="36"/>
    <tableColumn id="4" name="Mar" dataDxfId="35"/>
    <tableColumn id="5" name="Apr" dataDxfId="34"/>
    <tableColumn id="6" name="May" dataDxfId="33"/>
    <tableColumn id="7" name="Jun" dataDxfId="32"/>
    <tableColumn id="8" name="Jul" dataDxfId="31"/>
    <tableColumn id="9" name="Aug" dataDxfId="30"/>
    <tableColumn id="10" name="Sep" dataDxfId="29"/>
    <tableColumn id="11" name="Oct" dataDxfId="28"/>
    <tableColumn id="12" name="Nov" dataDxfId="27"/>
    <tableColumn id="13" name="Dec" dataDxfId="26"/>
    <tableColumn id="14" name="Total" dataDxfId="25">
      <calculatedColumnFormula>SUM(Tabla3[[#This Row],[Jan]:[Dec]])</calculatedColumnFormula>
    </tableColumn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A32:N49" totalsRowShown="0" headerRowDxfId="13">
  <autoFilter ref="A32:N49"/>
  <tableColumns count="14">
    <tableColumn id="1" name="Cost of Sales"/>
    <tableColumn id="2" name="Jan" dataDxfId="12"/>
    <tableColumn id="3" name="Feb" dataDxfId="11"/>
    <tableColumn id="4" name="Mar" dataDxfId="10"/>
    <tableColumn id="5" name="Apr" dataDxfId="9"/>
    <tableColumn id="6" name="May" dataDxfId="8"/>
    <tableColumn id="7" name="Jun" dataDxfId="7"/>
    <tableColumn id="8" name="Jul" dataDxfId="6"/>
    <tableColumn id="9" name="Aug" dataDxfId="5"/>
    <tableColumn id="10" name="Sep" dataDxfId="4"/>
    <tableColumn id="11" name="Oct" dataDxfId="3"/>
    <tableColumn id="12" name="Nov" dataDxfId="2"/>
    <tableColumn id="13" name="Dec" dataDxfId="1"/>
    <tableColumn id="14" name="Total Cost/ Year" dataDxfId="0">
      <calculatedColumnFormula>SUM(Tabla4[[#This Row],[Jan]:[Dec]])</calculatedColumnFormula>
    </tableColumn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A1:B21" headerRowDxfId="24">
  <autoFilter ref="A1:B21"/>
  <tableColumns count="2">
    <tableColumn id="1" name="Fixed Cost" totalsRowLabel="Total" dataDxfId="23" totalsRowDxfId="22"/>
    <tableColumn id="2" name="Estimated Expense" totalsRowFunction="sum" dataDxfId="21" totalsRowDxfId="20"/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A1:F5" totalsRowShown="0">
  <autoFilter ref="A1:F5"/>
  <tableColumns count="6">
    <tableColumn id="1" name="Columna1" dataDxfId="19"/>
    <tableColumn id="2" name="Year 1" dataDxfId="18"/>
    <tableColumn id="3" name="Year 2" dataDxfId="17"/>
    <tableColumn id="4" name="Year 3" dataDxfId="16"/>
    <tableColumn id="5" name="Year 4" dataDxfId="15"/>
    <tableColumn id="6" name="Year 5" dataDxfId="14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5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3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3"/>
  <sheetViews>
    <sheetView topLeftCell="B29" workbookViewId="0">
      <selection activeCell="B48" sqref="B48"/>
    </sheetView>
  </sheetViews>
  <sheetFormatPr baseColWidth="10" defaultColWidth="11.42578125" defaultRowHeight="15" x14ac:dyDescent="0.25"/>
  <cols>
    <col min="1" max="1" width="23.7109375" bestFit="1" customWidth="1"/>
    <col min="2" max="2" width="12.140625" bestFit="1" customWidth="1"/>
    <col min="3" max="9" width="12" customWidth="1"/>
    <col min="10" max="13" width="13" customWidth="1"/>
    <col min="14" max="14" width="17.28515625" bestFit="1" customWidth="1"/>
    <col min="15" max="15" width="12.7109375" bestFit="1" customWidth="1"/>
  </cols>
  <sheetData>
    <row r="1" spans="1:14" ht="15" customHeight="1" x14ac:dyDescent="0.25">
      <c r="A1" s="29" t="s">
        <v>70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4" s="1" customFormat="1" x14ac:dyDescent="0.25">
      <c r="A3" s="1" t="s">
        <v>2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  <c r="K3" s="1" t="s">
        <v>16</v>
      </c>
      <c r="L3" s="1" t="s">
        <v>17</v>
      </c>
      <c r="M3" s="1" t="s">
        <v>18</v>
      </c>
      <c r="N3" s="1" t="s">
        <v>47</v>
      </c>
    </row>
    <row r="4" spans="1:14" x14ac:dyDescent="0.25">
      <c r="A4" t="s">
        <v>0</v>
      </c>
      <c r="B4" s="5">
        <f>35*31</f>
        <v>1085</v>
      </c>
      <c r="C4">
        <f>40*28</f>
        <v>1120</v>
      </c>
      <c r="D4">
        <f>43*31</f>
        <v>1333</v>
      </c>
      <c r="E4">
        <f>50*30</f>
        <v>1500</v>
      </c>
      <c r="F4">
        <f>52*31</f>
        <v>1612</v>
      </c>
      <c r="G4">
        <f>53*30</f>
        <v>1590</v>
      </c>
      <c r="H4">
        <f>54*31</f>
        <v>1674</v>
      </c>
      <c r="I4">
        <f>55*31</f>
        <v>1705</v>
      </c>
      <c r="J4">
        <f>56*30</f>
        <v>1680</v>
      </c>
      <c r="K4">
        <f>56*31</f>
        <v>1736</v>
      </c>
      <c r="L4">
        <f>58*30</f>
        <v>1740</v>
      </c>
      <c r="M4">
        <f>65*31</f>
        <v>2015</v>
      </c>
      <c r="N4">
        <f>SUM(Tabla1[[#This Row],[Jan]:[Dec]])</f>
        <v>18790</v>
      </c>
    </row>
    <row r="5" spans="1:14" x14ac:dyDescent="0.25">
      <c r="A5" t="s">
        <v>4</v>
      </c>
      <c r="B5" s="5">
        <v>1050</v>
      </c>
      <c r="C5">
        <v>1030</v>
      </c>
      <c r="D5">
        <v>1300</v>
      </c>
      <c r="E5">
        <v>1450</v>
      </c>
      <c r="F5">
        <v>1600</v>
      </c>
      <c r="G5">
        <v>1500</v>
      </c>
      <c r="H5">
        <v>1600</v>
      </c>
      <c r="I5">
        <v>1650</v>
      </c>
      <c r="J5">
        <v>1640</v>
      </c>
      <c r="K5">
        <v>1650</v>
      </c>
      <c r="L5">
        <v>1680</v>
      </c>
      <c r="M5">
        <v>1900</v>
      </c>
      <c r="N5">
        <f>SUM(Tabla1[[#This Row],[Jan]:[Dec]])</f>
        <v>18050</v>
      </c>
    </row>
    <row r="6" spans="1:14" x14ac:dyDescent="0.25">
      <c r="A6" t="s">
        <v>1</v>
      </c>
      <c r="B6" s="5">
        <f>50*31</f>
        <v>1550</v>
      </c>
      <c r="C6">
        <f>57*28</f>
        <v>1596</v>
      </c>
      <c r="D6">
        <f>60*31</f>
        <v>1860</v>
      </c>
      <c r="E6">
        <f>70*30</f>
        <v>2100</v>
      </c>
      <c r="F6">
        <f>76*31</f>
        <v>2356</v>
      </c>
      <c r="G6">
        <f>77*30</f>
        <v>2310</v>
      </c>
      <c r="H6">
        <f>78*31</f>
        <v>2418</v>
      </c>
      <c r="I6">
        <f>79*31</f>
        <v>2449</v>
      </c>
      <c r="J6">
        <f>80*30</f>
        <v>2400</v>
      </c>
      <c r="K6">
        <f>82*31</f>
        <v>2542</v>
      </c>
      <c r="L6">
        <f>83*30</f>
        <v>2490</v>
      </c>
      <c r="M6">
        <f>90*31</f>
        <v>2790</v>
      </c>
      <c r="N6">
        <f>SUM(Tabla1[[#This Row],[Jan]:[Dec]])</f>
        <v>26861</v>
      </c>
    </row>
    <row r="7" spans="1:14" x14ac:dyDescent="0.25">
      <c r="A7" t="s">
        <v>5</v>
      </c>
      <c r="B7" s="5">
        <v>1500</v>
      </c>
      <c r="C7">
        <f>1500</f>
        <v>1500</v>
      </c>
      <c r="D7">
        <v>1800</v>
      </c>
      <c r="E7">
        <v>2200</v>
      </c>
      <c r="F7">
        <v>2300</v>
      </c>
      <c r="G7">
        <v>2270</v>
      </c>
      <c r="H7">
        <v>2350</v>
      </c>
      <c r="I7">
        <v>2380</v>
      </c>
      <c r="J7">
        <v>2350</v>
      </c>
      <c r="K7">
        <v>2400</v>
      </c>
      <c r="L7">
        <v>2410</v>
      </c>
      <c r="M7">
        <v>2600</v>
      </c>
      <c r="N7">
        <f>SUM(Tabla1[[#This Row],[Jan]:[Dec]])</f>
        <v>26060</v>
      </c>
    </row>
    <row r="8" spans="1:14" x14ac:dyDescent="0.25">
      <c r="A8" t="s">
        <v>3</v>
      </c>
      <c r="B8" s="5">
        <v>1100</v>
      </c>
      <c r="C8">
        <v>1000</v>
      </c>
      <c r="D8">
        <v>1650</v>
      </c>
      <c r="E8">
        <v>2000</v>
      </c>
      <c r="F8">
        <v>2100</v>
      </c>
      <c r="G8">
        <v>2100</v>
      </c>
      <c r="H8">
        <v>2200</v>
      </c>
      <c r="I8">
        <v>2220</v>
      </c>
      <c r="J8">
        <v>2200</v>
      </c>
      <c r="K8">
        <v>2300</v>
      </c>
      <c r="L8">
        <v>2310</v>
      </c>
      <c r="M8">
        <v>2500</v>
      </c>
      <c r="N8">
        <f>SUM(Tabla1[[#This Row],[Jan]:[Dec]])</f>
        <v>23680</v>
      </c>
    </row>
    <row r="9" spans="1:14" x14ac:dyDescent="0.25">
      <c r="A9" t="s">
        <v>19</v>
      </c>
      <c r="B9" s="5">
        <v>1450</v>
      </c>
      <c r="C9">
        <v>1600</v>
      </c>
      <c r="D9">
        <v>1720</v>
      </c>
      <c r="E9">
        <v>1950</v>
      </c>
      <c r="F9">
        <v>2000</v>
      </c>
      <c r="G9">
        <v>2050</v>
      </c>
      <c r="H9">
        <v>2100</v>
      </c>
      <c r="I9">
        <v>2105</v>
      </c>
      <c r="J9">
        <v>2100</v>
      </c>
      <c r="K9">
        <v>2120</v>
      </c>
      <c r="L9">
        <v>2150</v>
      </c>
      <c r="M9">
        <v>2400</v>
      </c>
      <c r="N9">
        <f>SUM(Tabla1[[#This Row],[Jan]:[Dec]])</f>
        <v>23745</v>
      </c>
    </row>
    <row r="10" spans="1:14" ht="15.75" thickBot="1" x14ac:dyDescent="0.3">
      <c r="A10" t="s">
        <v>6</v>
      </c>
      <c r="B10" s="5">
        <v>800</v>
      </c>
      <c r="C10">
        <v>820</v>
      </c>
      <c r="D10">
        <v>830</v>
      </c>
      <c r="E10">
        <v>850</v>
      </c>
      <c r="F10">
        <v>852</v>
      </c>
      <c r="G10">
        <v>855</v>
      </c>
      <c r="H10">
        <v>857</v>
      </c>
      <c r="I10">
        <v>860</v>
      </c>
      <c r="J10">
        <v>860</v>
      </c>
      <c r="K10">
        <v>862</v>
      </c>
      <c r="L10">
        <v>865</v>
      </c>
      <c r="M10">
        <v>900</v>
      </c>
      <c r="N10">
        <f>SUM(Tabla1[[#This Row],[Jan]:[Dec]])</f>
        <v>10211</v>
      </c>
    </row>
    <row r="11" spans="1:14" s="3" customFormat="1" ht="15.75" thickBot="1" x14ac:dyDescent="0.3">
      <c r="A11" s="7" t="s">
        <v>20</v>
      </c>
      <c r="B11" s="8">
        <f>SUM(B4:B10)</f>
        <v>8535</v>
      </c>
      <c r="C11" s="8">
        <f t="shared" ref="C11:M11" si="0">SUM(C4:C10)</f>
        <v>8666</v>
      </c>
      <c r="D11" s="8">
        <f t="shared" si="0"/>
        <v>10493</v>
      </c>
      <c r="E11" s="8">
        <f t="shared" si="0"/>
        <v>12050</v>
      </c>
      <c r="F11" s="8">
        <f t="shared" si="0"/>
        <v>12820</v>
      </c>
      <c r="G11" s="8">
        <f t="shared" si="0"/>
        <v>12675</v>
      </c>
      <c r="H11" s="8">
        <f t="shared" si="0"/>
        <v>13199</v>
      </c>
      <c r="I11" s="8">
        <f t="shared" si="0"/>
        <v>13369</v>
      </c>
      <c r="J11" s="8">
        <f t="shared" si="0"/>
        <v>13230</v>
      </c>
      <c r="K11" s="8">
        <f t="shared" si="0"/>
        <v>13610</v>
      </c>
      <c r="L11" s="8">
        <f t="shared" si="0"/>
        <v>13645</v>
      </c>
      <c r="M11" s="9">
        <f t="shared" si="0"/>
        <v>15105</v>
      </c>
      <c r="N11" s="3">
        <f>SUM(Tabla1[[#This Row],[Jan]:[Dec]])</f>
        <v>147397</v>
      </c>
    </row>
    <row r="12" spans="1:14" s="3" customFormat="1" x14ac:dyDescent="0.25">
      <c r="B12" s="6"/>
    </row>
    <row r="13" spans="1:14" s="3" customFormat="1" x14ac:dyDescent="0.25">
      <c r="A13" s="3" t="s">
        <v>21</v>
      </c>
      <c r="B13" s="1" t="s">
        <v>7</v>
      </c>
      <c r="C13" s="1" t="s">
        <v>8</v>
      </c>
      <c r="D13" s="1" t="s">
        <v>9</v>
      </c>
      <c r="E13" s="1" t="s">
        <v>10</v>
      </c>
      <c r="F13" s="1" t="s">
        <v>11</v>
      </c>
      <c r="G13" s="1" t="s">
        <v>12</v>
      </c>
      <c r="H13" s="1" t="s">
        <v>13</v>
      </c>
      <c r="I13" s="1" t="s">
        <v>14</v>
      </c>
      <c r="J13" s="1" t="s">
        <v>15</v>
      </c>
      <c r="K13" s="1" t="s">
        <v>16</v>
      </c>
      <c r="L13" s="1" t="s">
        <v>17</v>
      </c>
      <c r="M13" s="1" t="s">
        <v>18</v>
      </c>
    </row>
    <row r="14" spans="1:14" x14ac:dyDescent="0.25">
      <c r="A14" t="s">
        <v>0</v>
      </c>
      <c r="B14" s="2">
        <v>13.99</v>
      </c>
      <c r="C14" s="2">
        <v>13.99</v>
      </c>
      <c r="D14" s="2">
        <v>13.99</v>
      </c>
      <c r="E14" s="2">
        <v>13.99</v>
      </c>
      <c r="F14" s="2">
        <v>13.99</v>
      </c>
      <c r="G14" s="2">
        <v>13.99</v>
      </c>
      <c r="H14" s="2">
        <v>13.99</v>
      </c>
      <c r="I14" s="2">
        <v>13.99</v>
      </c>
      <c r="J14" s="2">
        <v>13.99</v>
      </c>
      <c r="K14" s="2">
        <v>13.99</v>
      </c>
      <c r="L14" s="2">
        <v>13.99</v>
      </c>
      <c r="M14" s="2">
        <v>13.99</v>
      </c>
    </row>
    <row r="15" spans="1:14" x14ac:dyDescent="0.25">
      <c r="A15" t="s">
        <v>4</v>
      </c>
      <c r="B15" s="2">
        <v>3.99</v>
      </c>
      <c r="C15" s="2">
        <v>3.99</v>
      </c>
      <c r="D15" s="2">
        <v>3.99</v>
      </c>
      <c r="E15" s="2">
        <v>3.99</v>
      </c>
      <c r="F15" s="2">
        <v>3.99</v>
      </c>
      <c r="G15" s="2">
        <v>3.99</v>
      </c>
      <c r="H15" s="2">
        <v>3.99</v>
      </c>
      <c r="I15" s="2">
        <v>3.99</v>
      </c>
      <c r="J15" s="2">
        <v>3.99</v>
      </c>
      <c r="K15" s="2">
        <v>3.99</v>
      </c>
      <c r="L15" s="2">
        <v>3.99</v>
      </c>
      <c r="M15" s="2">
        <v>3.99</v>
      </c>
    </row>
    <row r="16" spans="1:14" x14ac:dyDescent="0.25">
      <c r="A16" t="s">
        <v>1</v>
      </c>
      <c r="B16" s="2">
        <v>17.989999999999998</v>
      </c>
      <c r="C16" s="2">
        <v>17.989999999999998</v>
      </c>
      <c r="D16" s="2">
        <v>17.989999999999998</v>
      </c>
      <c r="E16" s="2">
        <v>17.989999999999998</v>
      </c>
      <c r="F16" s="2">
        <v>17.989999999999998</v>
      </c>
      <c r="G16" s="2">
        <v>17.989999999999998</v>
      </c>
      <c r="H16" s="2">
        <v>17.989999999999998</v>
      </c>
      <c r="I16" s="2">
        <v>17.989999999999998</v>
      </c>
      <c r="J16" s="2">
        <v>17.989999999999998</v>
      </c>
      <c r="K16" s="2">
        <v>17.989999999999998</v>
      </c>
      <c r="L16" s="2">
        <v>17.989999999999998</v>
      </c>
      <c r="M16" s="2">
        <v>17.989999999999998</v>
      </c>
    </row>
    <row r="17" spans="1:14" x14ac:dyDescent="0.25">
      <c r="A17" t="s">
        <v>5</v>
      </c>
      <c r="B17" s="2">
        <v>3.99</v>
      </c>
      <c r="C17" s="2">
        <v>3.99</v>
      </c>
      <c r="D17" s="2">
        <v>3.99</v>
      </c>
      <c r="E17" s="2">
        <v>3.99</v>
      </c>
      <c r="F17" s="2">
        <v>3.99</v>
      </c>
      <c r="G17" s="2">
        <v>3.99</v>
      </c>
      <c r="H17" s="2">
        <v>3.99</v>
      </c>
      <c r="I17" s="2">
        <v>3.99</v>
      </c>
      <c r="J17" s="2">
        <v>3.99</v>
      </c>
      <c r="K17" s="2">
        <v>3.99</v>
      </c>
      <c r="L17" s="2">
        <v>3.99</v>
      </c>
      <c r="M17" s="2">
        <v>3.99</v>
      </c>
    </row>
    <row r="18" spans="1:14" x14ac:dyDescent="0.25">
      <c r="A18" t="s">
        <v>3</v>
      </c>
      <c r="B18" s="2">
        <v>15.99</v>
      </c>
      <c r="C18" s="2">
        <v>15.99</v>
      </c>
      <c r="D18" s="2">
        <v>15.99</v>
      </c>
      <c r="E18" s="2">
        <v>15.99</v>
      </c>
      <c r="F18" s="2">
        <v>15.99</v>
      </c>
      <c r="G18" s="2">
        <v>15.99</v>
      </c>
      <c r="H18" s="2">
        <v>15.99</v>
      </c>
      <c r="I18" s="2">
        <v>15.99</v>
      </c>
      <c r="J18" s="2">
        <v>15.99</v>
      </c>
      <c r="K18" s="2">
        <v>15.99</v>
      </c>
      <c r="L18" s="2">
        <v>15.99</v>
      </c>
      <c r="M18" s="2">
        <v>15.99</v>
      </c>
    </row>
    <row r="19" spans="1:14" x14ac:dyDescent="0.25">
      <c r="A19" t="s">
        <v>19</v>
      </c>
      <c r="B19" s="2">
        <v>30</v>
      </c>
      <c r="C19" s="2">
        <v>25</v>
      </c>
      <c r="D19" s="2">
        <v>25</v>
      </c>
      <c r="E19" s="2">
        <v>25</v>
      </c>
      <c r="F19" s="2">
        <v>25</v>
      </c>
      <c r="G19" s="2">
        <v>25</v>
      </c>
      <c r="H19" s="2">
        <v>25</v>
      </c>
      <c r="I19" s="2">
        <v>25</v>
      </c>
      <c r="J19" s="2">
        <v>25</v>
      </c>
      <c r="K19" s="2">
        <v>25</v>
      </c>
      <c r="L19" s="2">
        <v>25</v>
      </c>
      <c r="M19" s="2">
        <v>25</v>
      </c>
    </row>
    <row r="20" spans="1:14" x14ac:dyDescent="0.25">
      <c r="A20" t="s">
        <v>6</v>
      </c>
      <c r="B20" s="2">
        <v>6</v>
      </c>
      <c r="C20" s="2">
        <v>6</v>
      </c>
      <c r="D20" s="2">
        <v>6</v>
      </c>
      <c r="E20" s="2">
        <v>6</v>
      </c>
      <c r="F20" s="2">
        <v>6</v>
      </c>
      <c r="G20" s="2">
        <v>6</v>
      </c>
      <c r="H20" s="2">
        <v>6</v>
      </c>
      <c r="I20" s="2">
        <v>6</v>
      </c>
      <c r="J20" s="2">
        <v>6</v>
      </c>
      <c r="K20" s="2">
        <v>6</v>
      </c>
      <c r="L20" s="2">
        <v>6</v>
      </c>
      <c r="M20" s="2">
        <v>6</v>
      </c>
    </row>
    <row r="22" spans="1:14" s="3" customFormat="1" x14ac:dyDescent="0.25">
      <c r="A22" s="3" t="s">
        <v>22</v>
      </c>
      <c r="B22" s="1" t="s">
        <v>7</v>
      </c>
      <c r="C22" s="1" t="s">
        <v>8</v>
      </c>
      <c r="D22" s="1" t="s">
        <v>9</v>
      </c>
      <c r="E22" s="1" t="s">
        <v>10</v>
      </c>
      <c r="F22" s="1" t="s">
        <v>11</v>
      </c>
      <c r="G22" s="1" t="s">
        <v>12</v>
      </c>
      <c r="H22" s="1" t="s">
        <v>13</v>
      </c>
      <c r="I22" s="1" t="s">
        <v>14</v>
      </c>
      <c r="J22" s="1" t="s">
        <v>15</v>
      </c>
      <c r="K22" s="1" t="s">
        <v>16</v>
      </c>
      <c r="L22" s="1" t="s">
        <v>17</v>
      </c>
      <c r="M22" s="1" t="s">
        <v>18</v>
      </c>
      <c r="N22" s="1" t="s">
        <v>47</v>
      </c>
    </row>
    <row r="23" spans="1:14" x14ac:dyDescent="0.25">
      <c r="A23" t="s">
        <v>0</v>
      </c>
      <c r="B23" s="2">
        <f>B4*B14</f>
        <v>15179.15</v>
      </c>
      <c r="C23" s="2">
        <f t="shared" ref="B23:D24" si="1">C4*C14</f>
        <v>15668.800000000001</v>
      </c>
      <c r="D23" s="2">
        <f t="shared" si="1"/>
        <v>18648.670000000002</v>
      </c>
      <c r="E23" s="2">
        <f t="shared" ref="E23:M23" si="2">E4*E14</f>
        <v>20985</v>
      </c>
      <c r="F23" s="2">
        <f t="shared" si="2"/>
        <v>22551.88</v>
      </c>
      <c r="G23" s="2">
        <f t="shared" si="2"/>
        <v>22244.1</v>
      </c>
      <c r="H23" s="2">
        <f t="shared" si="2"/>
        <v>23419.260000000002</v>
      </c>
      <c r="I23" s="2">
        <f t="shared" si="2"/>
        <v>23852.95</v>
      </c>
      <c r="J23" s="2">
        <f t="shared" si="2"/>
        <v>23503.200000000001</v>
      </c>
      <c r="K23" s="2">
        <f t="shared" si="2"/>
        <v>24286.639999999999</v>
      </c>
      <c r="L23" s="2">
        <f t="shared" si="2"/>
        <v>24342.600000000002</v>
      </c>
      <c r="M23" s="2">
        <f t="shared" si="2"/>
        <v>28189.850000000002</v>
      </c>
      <c r="N23" s="2">
        <f>SUM(Tabla3[[#This Row],[Jan]:[Dec]])</f>
        <v>262872.10000000003</v>
      </c>
    </row>
    <row r="24" spans="1:14" x14ac:dyDescent="0.25">
      <c r="A24" t="s">
        <v>4</v>
      </c>
      <c r="B24" s="2">
        <f t="shared" si="1"/>
        <v>4189.5</v>
      </c>
      <c r="C24" s="2">
        <f t="shared" si="1"/>
        <v>4109.7</v>
      </c>
      <c r="D24" s="2">
        <f t="shared" si="1"/>
        <v>5187</v>
      </c>
      <c r="E24" s="2">
        <f t="shared" ref="E24:M24" si="3">E5*E15</f>
        <v>5785.5</v>
      </c>
      <c r="F24" s="2">
        <f t="shared" si="3"/>
        <v>6384</v>
      </c>
      <c r="G24" s="2">
        <f t="shared" si="3"/>
        <v>5985</v>
      </c>
      <c r="H24" s="2">
        <f t="shared" si="3"/>
        <v>6384</v>
      </c>
      <c r="I24" s="2">
        <f t="shared" si="3"/>
        <v>6583.5</v>
      </c>
      <c r="J24" s="2">
        <f t="shared" si="3"/>
        <v>6543.6</v>
      </c>
      <c r="K24" s="2">
        <f t="shared" si="3"/>
        <v>6583.5</v>
      </c>
      <c r="L24" s="2">
        <f t="shared" si="3"/>
        <v>6703.2000000000007</v>
      </c>
      <c r="M24" s="2">
        <f t="shared" si="3"/>
        <v>7581</v>
      </c>
      <c r="N24" s="2">
        <f>SUM(Tabla3[[#This Row],[Jan]:[Dec]])</f>
        <v>72019.5</v>
      </c>
    </row>
    <row r="25" spans="1:14" x14ac:dyDescent="0.25">
      <c r="A25" t="s">
        <v>1</v>
      </c>
      <c r="B25" s="2">
        <f t="shared" ref="B25:C29" si="4">B6*B16</f>
        <v>27884.499999999996</v>
      </c>
      <c r="C25" s="2">
        <f t="shared" si="4"/>
        <v>28712.039999999997</v>
      </c>
      <c r="D25" s="2">
        <f t="shared" ref="D25:F25" si="5">D6*D16</f>
        <v>33461.399999999994</v>
      </c>
      <c r="E25" s="2">
        <f t="shared" si="5"/>
        <v>37779</v>
      </c>
      <c r="F25" s="2">
        <f t="shared" si="5"/>
        <v>42384.439999999995</v>
      </c>
      <c r="G25" s="2">
        <f t="shared" ref="G25:M25" si="6">G6*G16</f>
        <v>41556.899999999994</v>
      </c>
      <c r="H25" s="2">
        <f t="shared" si="6"/>
        <v>43499.82</v>
      </c>
      <c r="I25" s="2">
        <f t="shared" si="6"/>
        <v>44057.509999999995</v>
      </c>
      <c r="J25" s="2">
        <f t="shared" si="6"/>
        <v>43175.999999999993</v>
      </c>
      <c r="K25" s="2">
        <f t="shared" si="6"/>
        <v>45730.579999999994</v>
      </c>
      <c r="L25" s="2">
        <f t="shared" si="6"/>
        <v>44795.1</v>
      </c>
      <c r="M25" s="2">
        <f t="shared" si="6"/>
        <v>50192.1</v>
      </c>
      <c r="N25" s="2">
        <f>SUM(Tabla3[[#This Row],[Jan]:[Dec]])</f>
        <v>483229.38999999996</v>
      </c>
    </row>
    <row r="26" spans="1:14" x14ac:dyDescent="0.25">
      <c r="A26" t="s">
        <v>5</v>
      </c>
      <c r="B26" s="2">
        <f t="shared" si="4"/>
        <v>5985</v>
      </c>
      <c r="C26" s="2">
        <f t="shared" si="4"/>
        <v>5985</v>
      </c>
      <c r="D26" s="2">
        <f t="shared" ref="D26:F26" si="7">D7*D17</f>
        <v>7182</v>
      </c>
      <c r="E26" s="2">
        <f t="shared" si="7"/>
        <v>8778</v>
      </c>
      <c r="F26" s="2">
        <f t="shared" si="7"/>
        <v>9177</v>
      </c>
      <c r="G26" s="2">
        <f t="shared" ref="G26:M26" si="8">G7*G17</f>
        <v>9057.3000000000011</v>
      </c>
      <c r="H26" s="2">
        <f t="shared" si="8"/>
        <v>9376.5</v>
      </c>
      <c r="I26" s="2">
        <f t="shared" si="8"/>
        <v>9496.2000000000007</v>
      </c>
      <c r="J26" s="2">
        <f t="shared" si="8"/>
        <v>9376.5</v>
      </c>
      <c r="K26" s="2">
        <f t="shared" si="8"/>
        <v>9576</v>
      </c>
      <c r="L26" s="2">
        <f t="shared" si="8"/>
        <v>9615.9</v>
      </c>
      <c r="M26" s="2">
        <f t="shared" si="8"/>
        <v>10374</v>
      </c>
      <c r="N26" s="2">
        <f>SUM(Tabla3[[#This Row],[Jan]:[Dec]])</f>
        <v>103979.4</v>
      </c>
    </row>
    <row r="27" spans="1:14" x14ac:dyDescent="0.25">
      <c r="A27" t="s">
        <v>3</v>
      </c>
      <c r="B27" s="2">
        <f t="shared" si="4"/>
        <v>17589</v>
      </c>
      <c r="C27" s="2">
        <f t="shared" si="4"/>
        <v>15990</v>
      </c>
      <c r="D27" s="2">
        <f t="shared" ref="D27:F27" si="9">D8*D18</f>
        <v>26383.5</v>
      </c>
      <c r="E27" s="2">
        <f t="shared" si="9"/>
        <v>31980</v>
      </c>
      <c r="F27" s="2">
        <f t="shared" si="9"/>
        <v>33579</v>
      </c>
      <c r="G27" s="2">
        <f t="shared" ref="G27:M27" si="10">G8*G18</f>
        <v>33579</v>
      </c>
      <c r="H27" s="2">
        <f t="shared" si="10"/>
        <v>35178</v>
      </c>
      <c r="I27" s="2">
        <f t="shared" si="10"/>
        <v>35497.800000000003</v>
      </c>
      <c r="J27" s="2">
        <f t="shared" si="10"/>
        <v>35178</v>
      </c>
      <c r="K27" s="2">
        <f t="shared" si="10"/>
        <v>36777</v>
      </c>
      <c r="L27" s="2">
        <f t="shared" si="10"/>
        <v>36936.9</v>
      </c>
      <c r="M27" s="2">
        <f t="shared" si="10"/>
        <v>39975</v>
      </c>
      <c r="N27" s="2">
        <f>SUM(Tabla3[[#This Row],[Jan]:[Dec]])</f>
        <v>378643.20000000001</v>
      </c>
    </row>
    <row r="28" spans="1:14" x14ac:dyDescent="0.25">
      <c r="A28" t="s">
        <v>19</v>
      </c>
      <c r="B28" s="2">
        <f t="shared" si="4"/>
        <v>43500</v>
      </c>
      <c r="C28" s="2">
        <f t="shared" si="4"/>
        <v>40000</v>
      </c>
      <c r="D28" s="2">
        <f t="shared" ref="D28:F28" si="11">D9*D19</f>
        <v>43000</v>
      </c>
      <c r="E28" s="2">
        <f t="shared" si="11"/>
        <v>48750</v>
      </c>
      <c r="F28" s="2">
        <f t="shared" si="11"/>
        <v>50000</v>
      </c>
      <c r="G28" s="2">
        <f t="shared" ref="G28:M28" si="12">G9*G19</f>
        <v>51250</v>
      </c>
      <c r="H28" s="2">
        <f t="shared" si="12"/>
        <v>52500</v>
      </c>
      <c r="I28" s="2">
        <f t="shared" si="12"/>
        <v>52625</v>
      </c>
      <c r="J28" s="2">
        <f t="shared" si="12"/>
        <v>52500</v>
      </c>
      <c r="K28" s="2">
        <f t="shared" si="12"/>
        <v>53000</v>
      </c>
      <c r="L28" s="2">
        <f t="shared" si="12"/>
        <v>53750</v>
      </c>
      <c r="M28" s="2">
        <f t="shared" si="12"/>
        <v>60000</v>
      </c>
      <c r="N28" s="2">
        <f>SUM(Tabla3[[#This Row],[Jan]:[Dec]])</f>
        <v>600875</v>
      </c>
    </row>
    <row r="29" spans="1:14" ht="15.75" thickBot="1" x14ac:dyDescent="0.3">
      <c r="A29" t="s">
        <v>6</v>
      </c>
      <c r="B29" s="2">
        <f t="shared" si="4"/>
        <v>4800</v>
      </c>
      <c r="C29" s="2">
        <f t="shared" si="4"/>
        <v>4920</v>
      </c>
      <c r="D29" s="2">
        <f t="shared" ref="D29:F29" si="13">D10*D20</f>
        <v>4980</v>
      </c>
      <c r="E29" s="2">
        <f t="shared" si="13"/>
        <v>5100</v>
      </c>
      <c r="F29" s="2">
        <f t="shared" si="13"/>
        <v>5112</v>
      </c>
      <c r="G29" s="2">
        <f t="shared" ref="G29:M29" si="14">G10*G20</f>
        <v>5130</v>
      </c>
      <c r="H29" s="2">
        <f t="shared" si="14"/>
        <v>5142</v>
      </c>
      <c r="I29" s="2">
        <f t="shared" si="14"/>
        <v>5160</v>
      </c>
      <c r="J29" s="2">
        <f t="shared" si="14"/>
        <v>5160</v>
      </c>
      <c r="K29" s="2">
        <f t="shared" si="14"/>
        <v>5172</v>
      </c>
      <c r="L29" s="2">
        <f t="shared" si="14"/>
        <v>5190</v>
      </c>
      <c r="M29" s="2">
        <f t="shared" si="14"/>
        <v>5400</v>
      </c>
      <c r="N29" s="2">
        <f>SUM(Tabla3[[#This Row],[Jan]:[Dec]])</f>
        <v>61266</v>
      </c>
    </row>
    <row r="30" spans="1:14" s="3" customFormat="1" ht="15.75" thickBot="1" x14ac:dyDescent="0.3">
      <c r="A30" s="7" t="s">
        <v>23</v>
      </c>
      <c r="B30" s="10">
        <f>SUM(B23:B29)</f>
        <v>119127.15</v>
      </c>
      <c r="C30" s="10">
        <f t="shared" ref="C30:M30" si="15">SUM(C23:C29)</f>
        <v>115385.54</v>
      </c>
      <c r="D30" s="10">
        <f t="shared" si="15"/>
        <v>138842.57</v>
      </c>
      <c r="E30" s="10">
        <f t="shared" si="15"/>
        <v>159157.5</v>
      </c>
      <c r="F30" s="10">
        <f t="shared" si="15"/>
        <v>169188.32</v>
      </c>
      <c r="G30" s="10">
        <f t="shared" si="15"/>
        <v>168802.3</v>
      </c>
      <c r="H30" s="10">
        <f t="shared" si="15"/>
        <v>175499.58000000002</v>
      </c>
      <c r="I30" s="10">
        <f t="shared" si="15"/>
        <v>177272.95999999999</v>
      </c>
      <c r="J30" s="10">
        <f t="shared" si="15"/>
        <v>175437.3</v>
      </c>
      <c r="K30" s="10">
        <f t="shared" si="15"/>
        <v>181125.72</v>
      </c>
      <c r="L30" s="10">
        <f t="shared" si="15"/>
        <v>181333.69999999998</v>
      </c>
      <c r="M30" s="11">
        <f t="shared" si="15"/>
        <v>201711.95</v>
      </c>
      <c r="N30" s="4">
        <f>SUM(Tabla3[[#This Row],[Jan]:[Dec]])</f>
        <v>1962884.59</v>
      </c>
    </row>
    <row r="32" spans="1:14" s="3" customFormat="1" x14ac:dyDescent="0.25">
      <c r="A32" s="3" t="s">
        <v>24</v>
      </c>
      <c r="B32" s="1" t="s">
        <v>7</v>
      </c>
      <c r="C32" s="1" t="s">
        <v>8</v>
      </c>
      <c r="D32" s="1" t="s">
        <v>9</v>
      </c>
      <c r="E32" s="1" t="s">
        <v>10</v>
      </c>
      <c r="F32" s="1" t="s">
        <v>11</v>
      </c>
      <c r="G32" s="1" t="s">
        <v>12</v>
      </c>
      <c r="H32" s="1" t="s">
        <v>13</v>
      </c>
      <c r="I32" s="1" t="s">
        <v>14</v>
      </c>
      <c r="J32" s="1" t="s">
        <v>15</v>
      </c>
      <c r="K32" s="1" t="s">
        <v>16</v>
      </c>
      <c r="L32" s="1" t="s">
        <v>17</v>
      </c>
      <c r="M32" s="1" t="s">
        <v>18</v>
      </c>
      <c r="N32" s="3" t="s">
        <v>60</v>
      </c>
    </row>
    <row r="33" spans="1:15" x14ac:dyDescent="0.25">
      <c r="A33" t="s">
        <v>0</v>
      </c>
      <c r="B33" s="2">
        <f t="shared" ref="B33:M33" si="16">(B14/1.5)*B4</f>
        <v>10119.433333333332</v>
      </c>
      <c r="C33" s="2">
        <f t="shared" si="16"/>
        <v>10445.866666666667</v>
      </c>
      <c r="D33" s="2">
        <f t="shared" si="16"/>
        <v>12432.446666666667</v>
      </c>
      <c r="E33" s="2">
        <f t="shared" si="16"/>
        <v>13990</v>
      </c>
      <c r="F33" s="2">
        <f t="shared" si="16"/>
        <v>15034.586666666666</v>
      </c>
      <c r="G33" s="2">
        <f t="shared" si="16"/>
        <v>14829.4</v>
      </c>
      <c r="H33" s="2">
        <f t="shared" si="16"/>
        <v>15612.84</v>
      </c>
      <c r="I33" s="2">
        <f t="shared" si="16"/>
        <v>15901.966666666665</v>
      </c>
      <c r="J33" s="2">
        <f t="shared" si="16"/>
        <v>15668.8</v>
      </c>
      <c r="K33" s="2">
        <f t="shared" si="16"/>
        <v>16191.093333333332</v>
      </c>
      <c r="L33" s="2">
        <f t="shared" si="16"/>
        <v>16228.4</v>
      </c>
      <c r="M33" s="2">
        <f t="shared" si="16"/>
        <v>18793.233333333334</v>
      </c>
      <c r="N33" s="2">
        <f>SUM(Tabla4[[#This Row],[Jan]:[Dec]])</f>
        <v>175248.06666666665</v>
      </c>
    </row>
    <row r="34" spans="1:15" x14ac:dyDescent="0.25">
      <c r="A34" t="s">
        <v>4</v>
      </c>
      <c r="B34" s="2">
        <f t="shared" ref="B34:M34" si="17">(B15/1.5)*B5</f>
        <v>2793</v>
      </c>
      <c r="C34" s="2">
        <f t="shared" si="17"/>
        <v>2739.8</v>
      </c>
      <c r="D34" s="2">
        <f t="shared" si="17"/>
        <v>3458</v>
      </c>
      <c r="E34" s="2">
        <f t="shared" si="17"/>
        <v>3857</v>
      </c>
      <c r="F34" s="2">
        <f t="shared" si="17"/>
        <v>4256</v>
      </c>
      <c r="G34" s="2">
        <f t="shared" si="17"/>
        <v>3990</v>
      </c>
      <c r="H34" s="2">
        <f t="shared" si="17"/>
        <v>4256</v>
      </c>
      <c r="I34" s="2">
        <f t="shared" si="17"/>
        <v>4389</v>
      </c>
      <c r="J34" s="2">
        <f t="shared" si="17"/>
        <v>4362.4000000000005</v>
      </c>
      <c r="K34" s="2">
        <f t="shared" si="17"/>
        <v>4389</v>
      </c>
      <c r="L34" s="2">
        <f t="shared" si="17"/>
        <v>4468.8</v>
      </c>
      <c r="M34" s="2">
        <f t="shared" si="17"/>
        <v>5054</v>
      </c>
      <c r="N34" s="2">
        <f>SUM(Tabla4[[#This Row],[Jan]:[Dec]])</f>
        <v>48013</v>
      </c>
    </row>
    <row r="35" spans="1:15" x14ac:dyDescent="0.25">
      <c r="A35" t="s">
        <v>1</v>
      </c>
      <c r="B35" s="2">
        <f>(B16/1.5)*B6</f>
        <v>18589.666666666664</v>
      </c>
      <c r="C35" s="2">
        <f>(C16/1.5)*C6</f>
        <v>19141.359999999997</v>
      </c>
      <c r="D35" s="2">
        <f t="shared" ref="D35:M35" si="18">(D16/1.4)*D6</f>
        <v>23901</v>
      </c>
      <c r="E35" s="2">
        <f t="shared" si="18"/>
        <v>26985</v>
      </c>
      <c r="F35" s="2">
        <f t="shared" si="18"/>
        <v>30274.6</v>
      </c>
      <c r="G35" s="2">
        <f t="shared" si="18"/>
        <v>29683.5</v>
      </c>
      <c r="H35" s="2">
        <f t="shared" si="18"/>
        <v>31071.3</v>
      </c>
      <c r="I35" s="2">
        <f t="shared" si="18"/>
        <v>31469.649999999998</v>
      </c>
      <c r="J35" s="2">
        <f t="shared" si="18"/>
        <v>30840</v>
      </c>
      <c r="K35" s="2">
        <f t="shared" si="18"/>
        <v>32664.7</v>
      </c>
      <c r="L35" s="2">
        <f t="shared" si="18"/>
        <v>31996.5</v>
      </c>
      <c r="M35" s="2">
        <f t="shared" si="18"/>
        <v>35851.5</v>
      </c>
      <c r="N35" s="2">
        <f>SUM(Tabla4[[#This Row],[Jan]:[Dec]])</f>
        <v>342468.77666666661</v>
      </c>
    </row>
    <row r="36" spans="1:15" x14ac:dyDescent="0.25">
      <c r="A36" t="s">
        <v>5</v>
      </c>
      <c r="B36" s="2">
        <f t="shared" ref="B36:M36" si="19">(B17/1.5)*B7</f>
        <v>3990</v>
      </c>
      <c r="C36" s="2">
        <f t="shared" si="19"/>
        <v>3990</v>
      </c>
      <c r="D36" s="2">
        <f t="shared" si="19"/>
        <v>4788</v>
      </c>
      <c r="E36" s="2">
        <f t="shared" si="19"/>
        <v>5852</v>
      </c>
      <c r="F36" s="2">
        <f t="shared" si="19"/>
        <v>6118</v>
      </c>
      <c r="G36" s="2">
        <f t="shared" si="19"/>
        <v>6038.2000000000007</v>
      </c>
      <c r="H36" s="2">
        <f t="shared" si="19"/>
        <v>6251</v>
      </c>
      <c r="I36" s="2">
        <f t="shared" si="19"/>
        <v>6330.8</v>
      </c>
      <c r="J36" s="2">
        <f t="shared" si="19"/>
        <v>6251</v>
      </c>
      <c r="K36" s="2">
        <f t="shared" si="19"/>
        <v>6384</v>
      </c>
      <c r="L36" s="2">
        <f t="shared" si="19"/>
        <v>6410.6</v>
      </c>
      <c r="M36" s="2">
        <f t="shared" si="19"/>
        <v>6916</v>
      </c>
      <c r="N36" s="2">
        <f>SUM(Tabla4[[#This Row],[Jan]:[Dec]])</f>
        <v>69319.600000000006</v>
      </c>
    </row>
    <row r="37" spans="1:15" x14ac:dyDescent="0.25">
      <c r="A37" t="s">
        <v>3</v>
      </c>
      <c r="B37" s="2">
        <f t="shared" ref="B37:M37" si="20">(B18/2)*B8</f>
        <v>8794.5</v>
      </c>
      <c r="C37" s="2">
        <f t="shared" si="20"/>
        <v>7995</v>
      </c>
      <c r="D37" s="2">
        <f t="shared" si="20"/>
        <v>13191.75</v>
      </c>
      <c r="E37" s="2">
        <f t="shared" si="20"/>
        <v>15990</v>
      </c>
      <c r="F37" s="2">
        <f t="shared" si="20"/>
        <v>16789.5</v>
      </c>
      <c r="G37" s="2">
        <f t="shared" si="20"/>
        <v>16789.5</v>
      </c>
      <c r="H37" s="2">
        <f t="shared" si="20"/>
        <v>17589</v>
      </c>
      <c r="I37" s="2">
        <f t="shared" si="20"/>
        <v>17748.900000000001</v>
      </c>
      <c r="J37" s="2">
        <f t="shared" si="20"/>
        <v>17589</v>
      </c>
      <c r="K37" s="2">
        <f t="shared" si="20"/>
        <v>18388.5</v>
      </c>
      <c r="L37" s="2">
        <f t="shared" si="20"/>
        <v>18468.45</v>
      </c>
      <c r="M37" s="2">
        <f t="shared" si="20"/>
        <v>19987.5</v>
      </c>
      <c r="N37" s="2">
        <f>SUM(Tabla4[[#This Row],[Jan]:[Dec]])</f>
        <v>189321.60000000001</v>
      </c>
    </row>
    <row r="38" spans="1:15" x14ac:dyDescent="0.25">
      <c r="A38" t="s">
        <v>19</v>
      </c>
      <c r="B38" s="2">
        <f t="shared" ref="B38:M38" si="21">(B19/1.6)*B9</f>
        <v>27187.5</v>
      </c>
      <c r="C38" s="2">
        <f t="shared" si="21"/>
        <v>25000</v>
      </c>
      <c r="D38" s="2">
        <f t="shared" si="21"/>
        <v>26875</v>
      </c>
      <c r="E38" s="2">
        <f t="shared" si="21"/>
        <v>30468.75</v>
      </c>
      <c r="F38" s="2">
        <f t="shared" si="21"/>
        <v>31250</v>
      </c>
      <c r="G38" s="2">
        <f t="shared" si="21"/>
        <v>32031.25</v>
      </c>
      <c r="H38" s="2">
        <f t="shared" si="21"/>
        <v>32812.5</v>
      </c>
      <c r="I38" s="2">
        <f t="shared" si="21"/>
        <v>32890.625</v>
      </c>
      <c r="J38" s="2">
        <f t="shared" si="21"/>
        <v>32812.5</v>
      </c>
      <c r="K38" s="2">
        <f t="shared" si="21"/>
        <v>33125</v>
      </c>
      <c r="L38" s="2">
        <f t="shared" si="21"/>
        <v>33593.75</v>
      </c>
      <c r="M38" s="2">
        <f t="shared" si="21"/>
        <v>37500</v>
      </c>
      <c r="N38" s="2">
        <f>SUM(Tabla4[[#This Row],[Jan]:[Dec]])</f>
        <v>375546.875</v>
      </c>
    </row>
    <row r="39" spans="1:15" x14ac:dyDescent="0.25">
      <c r="A39" t="s">
        <v>6</v>
      </c>
      <c r="B39" s="2">
        <f t="shared" ref="B39:M39" si="22">(B20/1.5)*B10</f>
        <v>3200</v>
      </c>
      <c r="C39" s="2">
        <f t="shared" si="22"/>
        <v>3280</v>
      </c>
      <c r="D39" s="2">
        <f t="shared" si="22"/>
        <v>3320</v>
      </c>
      <c r="E39" s="2">
        <f t="shared" si="22"/>
        <v>3400</v>
      </c>
      <c r="F39" s="2">
        <f t="shared" si="22"/>
        <v>3408</v>
      </c>
      <c r="G39" s="2">
        <f t="shared" si="22"/>
        <v>3420</v>
      </c>
      <c r="H39" s="2">
        <f t="shared" si="22"/>
        <v>3428</v>
      </c>
      <c r="I39" s="2">
        <f t="shared" si="22"/>
        <v>3440</v>
      </c>
      <c r="J39" s="2">
        <f t="shared" si="22"/>
        <v>3440</v>
      </c>
      <c r="K39" s="2">
        <f t="shared" si="22"/>
        <v>3448</v>
      </c>
      <c r="L39" s="2">
        <f t="shared" si="22"/>
        <v>3460</v>
      </c>
      <c r="M39" s="2">
        <f t="shared" si="22"/>
        <v>3600</v>
      </c>
      <c r="N39" s="2">
        <f>SUM(Tabla4[[#This Row],[Jan]:[Dec]])</f>
        <v>40844</v>
      </c>
      <c r="O39" s="2">
        <f>SUM(N33:N39)</f>
        <v>1240761.9183333332</v>
      </c>
    </row>
    <row r="40" spans="1:15" x14ac:dyDescent="0.25">
      <c r="A40" t="s">
        <v>31</v>
      </c>
      <c r="B40" s="2">
        <v>5000</v>
      </c>
      <c r="C40" s="2">
        <v>5000</v>
      </c>
      <c r="D40" s="2">
        <v>5000</v>
      </c>
      <c r="E40" s="2">
        <v>5000</v>
      </c>
      <c r="F40" s="2">
        <v>5000</v>
      </c>
      <c r="G40" s="2">
        <v>5000</v>
      </c>
      <c r="H40" s="2">
        <v>5000</v>
      </c>
      <c r="I40" s="2">
        <v>5000</v>
      </c>
      <c r="J40" s="2">
        <v>5000</v>
      </c>
      <c r="K40" s="2">
        <v>5000</v>
      </c>
      <c r="L40" s="2">
        <v>5000</v>
      </c>
      <c r="M40" s="2">
        <v>5000</v>
      </c>
      <c r="N40" s="2">
        <f>SUM(Tabla4[[#This Row],[Jan]:[Dec]])</f>
        <v>60000</v>
      </c>
    </row>
    <row r="41" spans="1:15" x14ac:dyDescent="0.25">
      <c r="A41" t="s">
        <v>25</v>
      </c>
      <c r="B41" s="2">
        <v>6000</v>
      </c>
      <c r="C41" s="2">
        <v>6000</v>
      </c>
      <c r="D41" s="2">
        <v>6000</v>
      </c>
      <c r="E41" s="2">
        <f>6000+(6000/3)</f>
        <v>8000</v>
      </c>
      <c r="F41" s="2">
        <v>6000</v>
      </c>
      <c r="G41" s="2">
        <v>6000</v>
      </c>
      <c r="H41" s="2">
        <v>6000</v>
      </c>
      <c r="I41" s="2">
        <f>6000+(6000/3)</f>
        <v>8000</v>
      </c>
      <c r="J41" s="2">
        <v>6000</v>
      </c>
      <c r="K41" s="2">
        <v>6000</v>
      </c>
      <c r="L41" s="2">
        <v>6000</v>
      </c>
      <c r="M41" s="2">
        <f>6000+(6000/3)</f>
        <v>8000</v>
      </c>
      <c r="N41" s="2">
        <f>SUM(Tabla4[[#This Row],[Jan]:[Dec]])</f>
        <v>78000</v>
      </c>
    </row>
    <row r="42" spans="1:15" x14ac:dyDescent="0.25">
      <c r="A42" t="s">
        <v>26</v>
      </c>
      <c r="B42" s="2">
        <v>2500</v>
      </c>
      <c r="C42" s="2">
        <v>2500</v>
      </c>
      <c r="D42" s="2">
        <v>2500</v>
      </c>
      <c r="E42" s="2">
        <f>2500+(2500/3)</f>
        <v>3333.3333333333335</v>
      </c>
      <c r="F42" s="2">
        <v>2500</v>
      </c>
      <c r="G42" s="2">
        <v>2500</v>
      </c>
      <c r="H42" s="2">
        <v>2500</v>
      </c>
      <c r="I42" s="2">
        <f>2500+(2500/3)</f>
        <v>3333.3333333333335</v>
      </c>
      <c r="J42" s="2">
        <v>2500</v>
      </c>
      <c r="K42" s="2">
        <v>2500</v>
      </c>
      <c r="L42" s="2">
        <v>2500</v>
      </c>
      <c r="M42" s="2">
        <f>2500+(2500/3)</f>
        <v>3333.3333333333335</v>
      </c>
      <c r="N42" s="2">
        <f>SUM(Tabla4[[#This Row],[Jan]:[Dec]])</f>
        <v>32500</v>
      </c>
    </row>
    <row r="43" spans="1:15" x14ac:dyDescent="0.25">
      <c r="A43" t="s">
        <v>27</v>
      </c>
      <c r="B43" s="2">
        <v>2000</v>
      </c>
      <c r="C43" s="2">
        <v>2000</v>
      </c>
      <c r="D43" s="2">
        <v>2000</v>
      </c>
      <c r="E43" s="2">
        <f>2000+(2000/3)</f>
        <v>2666.6666666666665</v>
      </c>
      <c r="F43" s="2">
        <v>2000</v>
      </c>
      <c r="G43" s="2">
        <v>2000</v>
      </c>
      <c r="H43" s="2">
        <v>2000</v>
      </c>
      <c r="I43" s="2">
        <f>2000+(2000/3)</f>
        <v>2666.6666666666665</v>
      </c>
      <c r="J43" s="2">
        <v>2000</v>
      </c>
      <c r="K43" s="2">
        <v>2000</v>
      </c>
      <c r="L43" s="2">
        <v>2000</v>
      </c>
      <c r="M43" s="2">
        <f>2000+(2000/3)</f>
        <v>2666.6666666666665</v>
      </c>
      <c r="N43" s="2">
        <f>SUM(Tabla4[[#This Row],[Jan]:[Dec]])</f>
        <v>26000</v>
      </c>
    </row>
    <row r="44" spans="1:15" x14ac:dyDescent="0.25">
      <c r="A44" t="s">
        <v>30</v>
      </c>
      <c r="B44" s="2">
        <f>1500*3</f>
        <v>4500</v>
      </c>
      <c r="C44" s="2">
        <f>1500*3</f>
        <v>4500</v>
      </c>
      <c r="D44" s="2">
        <f t="shared" ref="D44:M44" si="23">1500*3</f>
        <v>4500</v>
      </c>
      <c r="E44" s="2">
        <f t="shared" si="23"/>
        <v>4500</v>
      </c>
      <c r="F44" s="2">
        <f t="shared" si="23"/>
        <v>4500</v>
      </c>
      <c r="G44" s="2">
        <f t="shared" si="23"/>
        <v>4500</v>
      </c>
      <c r="H44" s="2">
        <f t="shared" si="23"/>
        <v>4500</v>
      </c>
      <c r="I44" s="2">
        <f t="shared" si="23"/>
        <v>4500</v>
      </c>
      <c r="J44" s="2">
        <f t="shared" si="23"/>
        <v>4500</v>
      </c>
      <c r="K44" s="2">
        <f t="shared" si="23"/>
        <v>4500</v>
      </c>
      <c r="L44" s="2">
        <f t="shared" si="23"/>
        <v>4500</v>
      </c>
      <c r="M44" s="2">
        <f t="shared" si="23"/>
        <v>4500</v>
      </c>
      <c r="N44" s="2">
        <f>SUM(Tabla4[[#This Row],[Jan]:[Dec]])</f>
        <v>54000</v>
      </c>
    </row>
    <row r="45" spans="1:15" x14ac:dyDescent="0.25">
      <c r="A45" t="s">
        <v>33</v>
      </c>
      <c r="B45" s="2">
        <f>25*500</f>
        <v>12500</v>
      </c>
      <c r="C45" s="2">
        <f>25*500</f>
        <v>12500</v>
      </c>
      <c r="D45" s="2">
        <f>25*500</f>
        <v>12500</v>
      </c>
      <c r="E45" s="2">
        <f>(25*500)+(500/3)</f>
        <v>12666.666666666666</v>
      </c>
      <c r="F45" s="2">
        <f>25*500</f>
        <v>12500</v>
      </c>
      <c r="G45" s="2">
        <f>25*500</f>
        <v>12500</v>
      </c>
      <c r="H45" s="2">
        <f>25*500</f>
        <v>12500</v>
      </c>
      <c r="I45" s="2">
        <f>(25*500)+(500/3)</f>
        <v>12666.666666666666</v>
      </c>
      <c r="J45" s="2">
        <f>25*500</f>
        <v>12500</v>
      </c>
      <c r="K45" s="2">
        <f>25*500</f>
        <v>12500</v>
      </c>
      <c r="L45" s="2">
        <f>25*500</f>
        <v>12500</v>
      </c>
      <c r="M45" s="2">
        <f>(25*500)+(500/3)</f>
        <v>12666.666666666666</v>
      </c>
      <c r="N45" s="2">
        <f>SUM(Tabla4[[#This Row],[Jan]:[Dec]])</f>
        <v>150499.99999999997</v>
      </c>
    </row>
    <row r="46" spans="1:15" x14ac:dyDescent="0.25">
      <c r="A46" t="s">
        <v>42</v>
      </c>
      <c r="B46" s="2">
        <v>3000</v>
      </c>
      <c r="C46" s="2">
        <v>3000</v>
      </c>
      <c r="D46" s="2">
        <v>3000</v>
      </c>
      <c r="E46" s="2">
        <v>3000</v>
      </c>
      <c r="F46" s="2">
        <v>3000</v>
      </c>
      <c r="G46" s="2">
        <v>3000</v>
      </c>
      <c r="H46" s="2">
        <v>3000</v>
      </c>
      <c r="I46" s="2">
        <v>3000</v>
      </c>
      <c r="J46" s="2">
        <v>3000</v>
      </c>
      <c r="K46" s="2">
        <v>3000</v>
      </c>
      <c r="L46" s="2">
        <v>3000</v>
      </c>
      <c r="M46" s="2">
        <v>3000</v>
      </c>
      <c r="N46" s="2">
        <f>SUM(Tabla4[[#This Row],[Jan]:[Dec]])</f>
        <v>36000</v>
      </c>
    </row>
    <row r="47" spans="1:15" x14ac:dyDescent="0.25">
      <c r="A47" t="s">
        <v>48</v>
      </c>
      <c r="B47" s="2">
        <v>1200</v>
      </c>
      <c r="C47" s="2">
        <v>1200</v>
      </c>
      <c r="D47" s="2">
        <v>1200</v>
      </c>
      <c r="E47" s="2">
        <v>1200</v>
      </c>
      <c r="F47" s="2">
        <v>1200</v>
      </c>
      <c r="G47" s="2">
        <v>1200</v>
      </c>
      <c r="H47" s="2">
        <v>1200</v>
      </c>
      <c r="I47" s="2">
        <v>1200</v>
      </c>
      <c r="J47" s="2">
        <v>1200</v>
      </c>
      <c r="K47" s="2">
        <v>1200</v>
      </c>
      <c r="L47" s="2">
        <v>1200</v>
      </c>
      <c r="M47" s="2">
        <v>1200</v>
      </c>
      <c r="N47" s="2">
        <f>SUM(Tabla4[[#This Row],[Jan]:[Dec]])</f>
        <v>14400</v>
      </c>
    </row>
    <row r="48" spans="1:15" s="3" customFormat="1" ht="15.75" thickBot="1" x14ac:dyDescent="0.3">
      <c r="A48" t="s">
        <v>28</v>
      </c>
      <c r="B48" s="2">
        <v>3000</v>
      </c>
      <c r="C48" s="2">
        <v>3000</v>
      </c>
      <c r="D48" s="2">
        <v>3000</v>
      </c>
      <c r="E48" s="2">
        <v>3000</v>
      </c>
      <c r="F48" s="2">
        <v>3000</v>
      </c>
      <c r="G48" s="2">
        <v>3000</v>
      </c>
      <c r="H48" s="2">
        <v>3000</v>
      </c>
      <c r="I48" s="2">
        <v>3000</v>
      </c>
      <c r="J48" s="2">
        <v>3000</v>
      </c>
      <c r="K48" s="2">
        <v>3000</v>
      </c>
      <c r="L48" s="2">
        <v>3000</v>
      </c>
      <c r="M48" s="2">
        <v>3000</v>
      </c>
      <c r="N48" s="16">
        <f>SUM(Tabla4[[#This Row],[Jan]:[Dec]])</f>
        <v>36000</v>
      </c>
    </row>
    <row r="49" spans="1:14" ht="15.75" thickBot="1" x14ac:dyDescent="0.3">
      <c r="A49" s="7" t="s">
        <v>29</v>
      </c>
      <c r="B49" s="10">
        <f>SUM(B33:B48)</f>
        <v>114374.1</v>
      </c>
      <c r="C49" s="10">
        <f>SUM(C33:C48)</f>
        <v>112292.02666666667</v>
      </c>
      <c r="D49" s="10">
        <f>SUM(D33:D48)</f>
        <v>127666.19666666667</v>
      </c>
      <c r="E49" s="10">
        <f t="shared" ref="E49:M49" si="24">SUM(E33:E48)</f>
        <v>143909.41666666666</v>
      </c>
      <c r="F49" s="10">
        <f t="shared" si="24"/>
        <v>146830.68666666665</v>
      </c>
      <c r="G49" s="10">
        <f t="shared" si="24"/>
        <v>146481.85</v>
      </c>
      <c r="H49" s="10">
        <f t="shared" si="24"/>
        <v>150720.64000000001</v>
      </c>
      <c r="I49" s="10">
        <f t="shared" si="24"/>
        <v>155537.60833333334</v>
      </c>
      <c r="J49" s="10">
        <f t="shared" si="24"/>
        <v>150663.70000000001</v>
      </c>
      <c r="K49" s="10">
        <f t="shared" si="24"/>
        <v>154290.29333333333</v>
      </c>
      <c r="L49" s="10">
        <f t="shared" si="24"/>
        <v>154326.5</v>
      </c>
      <c r="M49" s="11">
        <f t="shared" si="24"/>
        <v>171068.9</v>
      </c>
      <c r="N49" s="4">
        <f>SUM(Tabla4[[#This Row],[Jan]:[Dec]])</f>
        <v>1728161.918333333</v>
      </c>
    </row>
    <row r="50" spans="1:14" x14ac:dyDescent="0.25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4" s="3" customFormat="1" ht="15.75" x14ac:dyDescent="0.25">
      <c r="A51" s="12" t="s">
        <v>32</v>
      </c>
      <c r="B51" s="13">
        <f t="shared" ref="B51:M51" si="25">B30-B49</f>
        <v>4753.0499999999884</v>
      </c>
      <c r="C51" s="13">
        <f t="shared" si="25"/>
        <v>3093.5133333333215</v>
      </c>
      <c r="D51" s="13">
        <f t="shared" si="25"/>
        <v>11176.373333333337</v>
      </c>
      <c r="E51" s="13">
        <f t="shared" si="25"/>
        <v>15248.083333333343</v>
      </c>
      <c r="F51" s="13">
        <f t="shared" si="25"/>
        <v>22357.63333333336</v>
      </c>
      <c r="G51" s="13">
        <f t="shared" si="25"/>
        <v>22320.449999999983</v>
      </c>
      <c r="H51" s="13">
        <f t="shared" si="25"/>
        <v>24778.940000000002</v>
      </c>
      <c r="I51" s="13">
        <f t="shared" si="25"/>
        <v>21735.351666666655</v>
      </c>
      <c r="J51" s="13">
        <f t="shared" si="25"/>
        <v>24773.599999999977</v>
      </c>
      <c r="K51" s="13">
        <f t="shared" si="25"/>
        <v>26835.426666666666</v>
      </c>
      <c r="L51" s="13">
        <f t="shared" si="25"/>
        <v>27007.199999999983</v>
      </c>
      <c r="M51" s="13">
        <f t="shared" si="25"/>
        <v>30643.050000000017</v>
      </c>
      <c r="N51" s="22">
        <f>SUM(B51:M51)</f>
        <v>234722.67166666663</v>
      </c>
    </row>
    <row r="52" spans="1:14" ht="15.75" thickBot="1" x14ac:dyDescent="0.3">
      <c r="L52" s="30" t="s">
        <v>43</v>
      </c>
      <c r="M52" s="30"/>
      <c r="N52" s="18">
        <f>N51*0.275</f>
        <v>64548.73470833333</v>
      </c>
    </row>
    <row r="53" spans="1:14" ht="15.75" thickTop="1" x14ac:dyDescent="0.25">
      <c r="L53" s="31" t="s">
        <v>41</v>
      </c>
      <c r="M53" s="31"/>
      <c r="N53" s="23">
        <f>N51-N52</f>
        <v>170173.9369583333</v>
      </c>
    </row>
  </sheetData>
  <mergeCells count="3">
    <mergeCell ref="A1:M2"/>
    <mergeCell ref="L52:M52"/>
    <mergeCell ref="L53:M53"/>
  </mergeCells>
  <pageMargins left="0.7" right="0.7" top="0.75" bottom="0.75" header="0.3" footer="0.3"/>
  <pageSetup orientation="portrait" r:id="rId1"/>
  <legacyDrawing r:id="rId2"/>
  <tableParts count="4"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21"/>
  <sheetViews>
    <sheetView workbookViewId="0">
      <selection activeCell="E15" sqref="E15"/>
    </sheetView>
  </sheetViews>
  <sheetFormatPr baseColWidth="10" defaultColWidth="11.42578125" defaultRowHeight="15" x14ac:dyDescent="0.25"/>
  <cols>
    <col min="1" max="1" width="33.7109375" bestFit="1" customWidth="1"/>
    <col min="2" max="2" width="22.42578125" bestFit="1" customWidth="1"/>
  </cols>
  <sheetData>
    <row r="1" spans="1:2" x14ac:dyDescent="0.25">
      <c r="A1" s="1" t="s">
        <v>34</v>
      </c>
      <c r="B1" s="1" t="s">
        <v>46</v>
      </c>
    </row>
    <row r="2" spans="1:2" x14ac:dyDescent="0.25">
      <c r="A2" s="15" t="s">
        <v>37</v>
      </c>
      <c r="B2" s="2">
        <v>60000</v>
      </c>
    </row>
    <row r="3" spans="1:2" x14ac:dyDescent="0.25">
      <c r="A3" s="14" t="s">
        <v>54</v>
      </c>
      <c r="B3" s="2">
        <v>35000</v>
      </c>
    </row>
    <row r="4" spans="1:2" x14ac:dyDescent="0.25">
      <c r="A4" s="14" t="s">
        <v>35</v>
      </c>
      <c r="B4" s="2">
        <v>10000</v>
      </c>
    </row>
    <row r="5" spans="1:2" x14ac:dyDescent="0.25">
      <c r="A5" s="14" t="s">
        <v>38</v>
      </c>
      <c r="B5" s="2">
        <v>40000</v>
      </c>
    </row>
    <row r="6" spans="1:2" x14ac:dyDescent="0.25">
      <c r="A6" s="14" t="s">
        <v>51</v>
      </c>
      <c r="B6" s="2">
        <v>10000</v>
      </c>
    </row>
    <row r="7" spans="1:2" x14ac:dyDescent="0.25">
      <c r="A7" s="14" t="s">
        <v>40</v>
      </c>
      <c r="B7" s="2">
        <v>10000</v>
      </c>
    </row>
    <row r="8" spans="1:2" x14ac:dyDescent="0.25">
      <c r="A8" s="14" t="s">
        <v>52</v>
      </c>
      <c r="B8" s="2">
        <v>10000</v>
      </c>
    </row>
    <row r="9" spans="1:2" x14ac:dyDescent="0.25">
      <c r="A9" s="14" t="s">
        <v>57</v>
      </c>
      <c r="B9" s="2">
        <v>4000</v>
      </c>
    </row>
    <row r="10" spans="1:2" x14ac:dyDescent="0.25">
      <c r="A10" s="14" t="s">
        <v>36</v>
      </c>
      <c r="B10" s="2">
        <v>2000</v>
      </c>
    </row>
    <row r="11" spans="1:2" x14ac:dyDescent="0.25">
      <c r="A11" s="14" t="s">
        <v>56</v>
      </c>
      <c r="B11" s="2">
        <v>2000</v>
      </c>
    </row>
    <row r="12" spans="1:2" x14ac:dyDescent="0.25">
      <c r="A12" s="14" t="s">
        <v>53</v>
      </c>
      <c r="B12" s="2">
        <v>1500</v>
      </c>
    </row>
    <row r="13" spans="1:2" x14ac:dyDescent="0.25">
      <c r="A13" s="14" t="s">
        <v>55</v>
      </c>
      <c r="B13" s="2">
        <v>2000</v>
      </c>
    </row>
    <row r="14" spans="1:2" x14ac:dyDescent="0.25">
      <c r="A14" s="14" t="s">
        <v>3</v>
      </c>
      <c r="B14" s="2">
        <f>110*25</f>
        <v>2750</v>
      </c>
    </row>
    <row r="15" spans="1:2" x14ac:dyDescent="0.25">
      <c r="A15" s="14" t="s">
        <v>49</v>
      </c>
      <c r="B15" s="2">
        <v>3000</v>
      </c>
    </row>
    <row r="16" spans="1:2" x14ac:dyDescent="0.25">
      <c r="A16" s="14" t="s">
        <v>39</v>
      </c>
      <c r="B16" s="2">
        <v>600</v>
      </c>
    </row>
    <row r="17" spans="1:2" x14ac:dyDescent="0.25">
      <c r="A17" s="14" t="s">
        <v>50</v>
      </c>
      <c r="B17" s="2">
        <v>4000</v>
      </c>
    </row>
    <row r="18" spans="1:2" ht="15.75" thickBot="1" x14ac:dyDescent="0.3">
      <c r="A18" s="17" t="s">
        <v>6</v>
      </c>
      <c r="B18" s="18">
        <v>10000</v>
      </c>
    </row>
    <row r="19" spans="1:2" ht="15.75" thickTop="1" x14ac:dyDescent="0.25">
      <c r="A19" s="24" t="s">
        <v>58</v>
      </c>
      <c r="B19" s="21">
        <v>70000</v>
      </c>
    </row>
    <row r="20" spans="1:2" ht="15.75" thickBot="1" x14ac:dyDescent="0.3">
      <c r="A20" s="19" t="s">
        <v>44</v>
      </c>
      <c r="B20" s="20">
        <f>SUM(B2:B19)</f>
        <v>276850</v>
      </c>
    </row>
    <row r="21" spans="1:2" x14ac:dyDescent="0.25">
      <c r="A21" s="25" t="s">
        <v>59</v>
      </c>
      <c r="B21" s="4">
        <v>70000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G1" sqref="G1"/>
    </sheetView>
  </sheetViews>
  <sheetFormatPr baseColWidth="10" defaultColWidth="11.42578125" defaultRowHeight="15" x14ac:dyDescent="0.25"/>
  <cols>
    <col min="1" max="1" width="23.7109375" bestFit="1" customWidth="1"/>
    <col min="2" max="5" width="14.7109375" bestFit="1" customWidth="1"/>
    <col min="6" max="6" width="15.42578125" bestFit="1" customWidth="1"/>
  </cols>
  <sheetData>
    <row r="1" spans="1:6" ht="15.75" thickBot="1" x14ac:dyDescent="0.3">
      <c r="A1" t="s">
        <v>45</v>
      </c>
      <c r="B1" t="s">
        <v>61</v>
      </c>
      <c r="C1" t="s">
        <v>63</v>
      </c>
      <c r="D1" t="s">
        <v>64</v>
      </c>
      <c r="E1" t="s">
        <v>65</v>
      </c>
      <c r="F1" t="s">
        <v>66</v>
      </c>
    </row>
    <row r="2" spans="1:6" x14ac:dyDescent="0.25">
      <c r="A2" s="26" t="s">
        <v>62</v>
      </c>
      <c r="B2" s="2">
        <v>1962884.59</v>
      </c>
      <c r="C2" s="2">
        <f>201711.95*12</f>
        <v>2420543.4000000004</v>
      </c>
      <c r="D2" s="2">
        <f>C2*1.1</f>
        <v>2662597.7400000007</v>
      </c>
      <c r="E2" s="2">
        <f>D2*1.02</f>
        <v>2715849.6948000006</v>
      </c>
      <c r="F2" s="2">
        <f>E2*1.001</f>
        <v>2718565.5444948003</v>
      </c>
    </row>
    <row r="3" spans="1:6" x14ac:dyDescent="0.25">
      <c r="A3" s="27" t="s">
        <v>69</v>
      </c>
      <c r="B3" s="2">
        <v>1728161.92</v>
      </c>
      <c r="C3" s="2">
        <f>171068.9*12</f>
        <v>2052826.7999999998</v>
      </c>
      <c r="D3" s="2">
        <f>C3*1.05</f>
        <v>2155468.1399999997</v>
      </c>
      <c r="E3" s="2">
        <f>D3*1.01</f>
        <v>2177022.8213999998</v>
      </c>
      <c r="F3" s="2">
        <f>E3*1.00001</f>
        <v>2177044.5916282139</v>
      </c>
    </row>
    <row r="4" spans="1:6" ht="15.75" thickBot="1" x14ac:dyDescent="0.3">
      <c r="A4" s="27" t="s">
        <v>67</v>
      </c>
      <c r="B4" s="2">
        <f>B2-B3</f>
        <v>234722.67000000016</v>
      </c>
      <c r="C4" s="2">
        <f>C2-C3</f>
        <v>367716.60000000056</v>
      </c>
      <c r="D4" s="2">
        <f>D2-D3</f>
        <v>507129.60000000102</v>
      </c>
      <c r="E4" s="2">
        <f t="shared" ref="E4:F4" si="0">E2-E3</f>
        <v>538826.87340000086</v>
      </c>
      <c r="F4" s="2">
        <f t="shared" si="0"/>
        <v>541520.95286658639</v>
      </c>
    </row>
    <row r="5" spans="1:6" ht="15.75" thickBot="1" x14ac:dyDescent="0.3">
      <c r="A5" s="28" t="s">
        <v>68</v>
      </c>
      <c r="B5" s="10">
        <f>B4*(1-0.275)</f>
        <v>170173.93575000012</v>
      </c>
      <c r="C5" s="10">
        <f>C4*(1-0.275)</f>
        <v>266594.53500000038</v>
      </c>
      <c r="D5" s="10">
        <f t="shared" ref="D5:F5" si="1">D4*(1-0.275)</f>
        <v>367668.96000000072</v>
      </c>
      <c r="E5" s="10">
        <f t="shared" si="1"/>
        <v>390649.4832150006</v>
      </c>
      <c r="F5" s="11">
        <f t="shared" si="1"/>
        <v>392602.69082827511</v>
      </c>
    </row>
    <row r="8" spans="1:6" x14ac:dyDescent="0.25">
      <c r="A8" s="32"/>
      <c r="B8" s="33" t="s">
        <v>61</v>
      </c>
      <c r="C8" s="33" t="s">
        <v>63</v>
      </c>
      <c r="D8" s="33" t="s">
        <v>64</v>
      </c>
      <c r="E8" s="33" t="s">
        <v>65</v>
      </c>
      <c r="F8" s="34" t="s">
        <v>66</v>
      </c>
    </row>
    <row r="9" spans="1:6" x14ac:dyDescent="0.25">
      <c r="A9" s="37" t="s">
        <v>23</v>
      </c>
      <c r="B9" s="42">
        <v>1962884.59</v>
      </c>
      <c r="C9" s="43">
        <f>201711.95*12</f>
        <v>2420543.4000000004</v>
      </c>
      <c r="D9" s="43">
        <f>C9*1.1</f>
        <v>2662597.7400000007</v>
      </c>
      <c r="E9" s="43">
        <f>D9*1.02</f>
        <v>2715849.6948000006</v>
      </c>
      <c r="F9" s="43">
        <f>E9*1.001</f>
        <v>2718565.5444948003</v>
      </c>
    </row>
    <row r="10" spans="1:6" x14ac:dyDescent="0.25">
      <c r="A10" s="38" t="s">
        <v>71</v>
      </c>
      <c r="B10" s="44">
        <v>1240761.9183333332</v>
      </c>
      <c r="C10" s="44">
        <f>C3-C23</f>
        <v>1565426.7999999998</v>
      </c>
      <c r="D10" s="44">
        <f t="shared" ref="D10:F10" si="2">D3-D23</f>
        <v>1668068.1399999997</v>
      </c>
      <c r="E10" s="44">
        <f t="shared" si="2"/>
        <v>1689622.8213999998</v>
      </c>
      <c r="F10" s="44">
        <f t="shared" si="2"/>
        <v>1689644.5916282139</v>
      </c>
    </row>
    <row r="11" spans="1:6" ht="15.75" thickBot="1" x14ac:dyDescent="0.3">
      <c r="A11" s="37" t="s">
        <v>72</v>
      </c>
      <c r="B11" s="35">
        <f>B9-B10</f>
        <v>722122.67166666687</v>
      </c>
      <c r="C11" s="35">
        <f>C9-C10</f>
        <v>855116.60000000056</v>
      </c>
      <c r="D11" s="35">
        <f t="shared" ref="D11:F11" si="3">D9-D10</f>
        <v>994529.60000000102</v>
      </c>
      <c r="E11" s="35">
        <f t="shared" si="3"/>
        <v>1026226.8734000009</v>
      </c>
      <c r="F11" s="35">
        <f t="shared" si="3"/>
        <v>1028920.9528665864</v>
      </c>
    </row>
    <row r="12" spans="1:6" ht="15.75" thickTop="1" x14ac:dyDescent="0.25">
      <c r="A12" s="38" t="s">
        <v>73</v>
      </c>
      <c r="B12" s="48">
        <f>(B11/B9)</f>
        <v>0.36788850212873025</v>
      </c>
      <c r="C12" s="48">
        <f t="shared" ref="C12:F12" si="4">(C11/C9)</f>
        <v>0.35327464072736742</v>
      </c>
      <c r="D12" s="48">
        <f t="shared" si="4"/>
        <v>0.37351853231874249</v>
      </c>
      <c r="E12" s="48">
        <f t="shared" si="4"/>
        <v>0.37786585736497241</v>
      </c>
      <c r="F12" s="48">
        <f t="shared" si="4"/>
        <v>0.37847936201140742</v>
      </c>
    </row>
    <row r="13" spans="1:6" x14ac:dyDescent="0.25">
      <c r="A13" s="37" t="s">
        <v>74</v>
      </c>
      <c r="B13" s="38"/>
      <c r="C13" s="38"/>
      <c r="D13" s="38"/>
      <c r="E13" s="38"/>
      <c r="F13" s="38"/>
    </row>
    <row r="14" spans="1:6" x14ac:dyDescent="0.25">
      <c r="A14" s="39" t="s">
        <v>31</v>
      </c>
      <c r="B14" s="45">
        <v>60000</v>
      </c>
      <c r="C14" s="45">
        <v>60000</v>
      </c>
      <c r="D14" s="45">
        <v>60000</v>
      </c>
      <c r="E14" s="45">
        <v>60000</v>
      </c>
      <c r="F14" s="45">
        <v>60000</v>
      </c>
    </row>
    <row r="15" spans="1:6" x14ac:dyDescent="0.25">
      <c r="A15" s="40" t="s">
        <v>25</v>
      </c>
      <c r="B15" s="46">
        <v>78000</v>
      </c>
      <c r="C15" s="46">
        <v>78000</v>
      </c>
      <c r="D15" s="46">
        <v>78000</v>
      </c>
      <c r="E15" s="46">
        <v>78000</v>
      </c>
      <c r="F15" s="46">
        <v>78000</v>
      </c>
    </row>
    <row r="16" spans="1:6" x14ac:dyDescent="0.25">
      <c r="A16" s="39" t="s">
        <v>26</v>
      </c>
      <c r="B16" s="45">
        <v>32500</v>
      </c>
      <c r="C16" s="45">
        <v>32500</v>
      </c>
      <c r="D16" s="45">
        <v>32500</v>
      </c>
      <c r="E16" s="45">
        <v>32500</v>
      </c>
      <c r="F16" s="45">
        <v>32500</v>
      </c>
    </row>
    <row r="17" spans="1:6" x14ac:dyDescent="0.25">
      <c r="A17" s="40" t="s">
        <v>27</v>
      </c>
      <c r="B17" s="46">
        <v>26000</v>
      </c>
      <c r="C17" s="46">
        <v>26000</v>
      </c>
      <c r="D17" s="46">
        <v>26000</v>
      </c>
      <c r="E17" s="46">
        <v>26000</v>
      </c>
      <c r="F17" s="46">
        <v>26000</v>
      </c>
    </row>
    <row r="18" spans="1:6" x14ac:dyDescent="0.25">
      <c r="A18" s="39" t="s">
        <v>30</v>
      </c>
      <c r="B18" s="45">
        <v>54000</v>
      </c>
      <c r="C18" s="45">
        <v>54000</v>
      </c>
      <c r="D18" s="45">
        <v>54000</v>
      </c>
      <c r="E18" s="45">
        <v>54000</v>
      </c>
      <c r="F18" s="45">
        <v>54000</v>
      </c>
    </row>
    <row r="19" spans="1:6" x14ac:dyDescent="0.25">
      <c r="A19" s="40" t="s">
        <v>33</v>
      </c>
      <c r="B19" s="46">
        <v>150499.99999999997</v>
      </c>
      <c r="C19" s="46">
        <v>150499.99999999997</v>
      </c>
      <c r="D19" s="46">
        <v>150499.99999999997</v>
      </c>
      <c r="E19" s="46">
        <v>150499.99999999997</v>
      </c>
      <c r="F19" s="46">
        <v>150499.99999999997</v>
      </c>
    </row>
    <row r="20" spans="1:6" x14ac:dyDescent="0.25">
      <c r="A20" s="39" t="s">
        <v>42</v>
      </c>
      <c r="B20" s="45">
        <v>36000</v>
      </c>
      <c r="C20" s="45">
        <v>36000</v>
      </c>
      <c r="D20" s="45">
        <v>36000</v>
      </c>
      <c r="E20" s="45">
        <v>36000</v>
      </c>
      <c r="F20" s="45">
        <v>36000</v>
      </c>
    </row>
    <row r="21" spans="1:6" x14ac:dyDescent="0.25">
      <c r="A21" s="40" t="s">
        <v>48</v>
      </c>
      <c r="B21" s="46">
        <v>14400</v>
      </c>
      <c r="C21" s="46">
        <v>14400</v>
      </c>
      <c r="D21" s="46">
        <v>14400</v>
      </c>
      <c r="E21" s="46">
        <v>14400</v>
      </c>
      <c r="F21" s="46">
        <v>14400</v>
      </c>
    </row>
    <row r="22" spans="1:6" x14ac:dyDescent="0.25">
      <c r="A22" s="39" t="s">
        <v>28</v>
      </c>
      <c r="B22" s="45">
        <v>36000</v>
      </c>
      <c r="C22" s="45">
        <v>36000</v>
      </c>
      <c r="D22" s="45">
        <v>36000</v>
      </c>
      <c r="E22" s="45">
        <v>36000</v>
      </c>
      <c r="F22" s="45">
        <v>36000</v>
      </c>
    </row>
    <row r="23" spans="1:6" ht="15.75" thickBot="1" x14ac:dyDescent="0.3">
      <c r="A23" s="41" t="s">
        <v>75</v>
      </c>
      <c r="B23" s="35">
        <f>SUM(B14:B22)</f>
        <v>487400</v>
      </c>
      <c r="C23" s="35">
        <f t="shared" ref="C23:F23" si="5">SUM(C14:C22)</f>
        <v>487400</v>
      </c>
      <c r="D23" s="35">
        <f t="shared" si="5"/>
        <v>487400</v>
      </c>
      <c r="E23" s="35">
        <f t="shared" si="5"/>
        <v>487400</v>
      </c>
      <c r="F23" s="35">
        <f t="shared" si="5"/>
        <v>487400</v>
      </c>
    </row>
    <row r="24" spans="1:6" ht="15.75" thickTop="1" x14ac:dyDescent="0.25">
      <c r="A24" s="37" t="s">
        <v>67</v>
      </c>
      <c r="B24" s="47">
        <f>B11-B23</f>
        <v>234722.67166666687</v>
      </c>
      <c r="C24" s="47">
        <f>C11-C23</f>
        <v>367716.60000000056</v>
      </c>
      <c r="D24" s="47">
        <f t="shared" ref="D24:F24" si="6">D11-D23</f>
        <v>507129.60000000102</v>
      </c>
      <c r="E24" s="47">
        <f t="shared" si="6"/>
        <v>538826.87340000086</v>
      </c>
      <c r="F24" s="47">
        <f t="shared" si="6"/>
        <v>541520.95286658639</v>
      </c>
    </row>
    <row r="25" spans="1:6" ht="15.75" thickBot="1" x14ac:dyDescent="0.3">
      <c r="A25" s="38" t="s">
        <v>76</v>
      </c>
      <c r="B25" s="50">
        <f>B24*0.275</f>
        <v>64548.734708333395</v>
      </c>
      <c r="C25" s="50">
        <f t="shared" ref="C25:F25" si="7">C24*0.275</f>
        <v>101122.06500000016</v>
      </c>
      <c r="D25" s="50">
        <f t="shared" si="7"/>
        <v>139460.64000000031</v>
      </c>
      <c r="E25" s="50">
        <f t="shared" si="7"/>
        <v>148177.39018500026</v>
      </c>
      <c r="F25" s="50">
        <f t="shared" si="7"/>
        <v>148918.26203831128</v>
      </c>
    </row>
    <row r="26" spans="1:6" ht="15.75" thickBot="1" x14ac:dyDescent="0.3">
      <c r="A26" s="37" t="s">
        <v>68</v>
      </c>
      <c r="B26" s="49">
        <f>B24-B25</f>
        <v>170173.93695833348</v>
      </c>
      <c r="C26" s="49">
        <f t="shared" ref="C26:F26" si="8">C24-C25</f>
        <v>266594.53500000038</v>
      </c>
      <c r="D26" s="49">
        <f t="shared" si="8"/>
        <v>367668.96000000072</v>
      </c>
      <c r="E26" s="49">
        <f t="shared" si="8"/>
        <v>390649.4832150006</v>
      </c>
      <c r="F26" s="49">
        <f t="shared" si="8"/>
        <v>392602.69082827511</v>
      </c>
    </row>
    <row r="27" spans="1:6" ht="15.75" thickTop="1" x14ac:dyDescent="0.25">
      <c r="A27" s="37" t="s">
        <v>77</v>
      </c>
      <c r="B27" s="36">
        <f>B26/B9</f>
        <v>8.6695844383970364E-2</v>
      </c>
      <c r="C27" s="36">
        <f t="shared" ref="C27:F27" si="9">C26/C9</f>
        <v>0.11013829993711344</v>
      </c>
      <c r="D27" s="36">
        <f t="shared" si="9"/>
        <v>0.1380865590308811</v>
      </c>
      <c r="E27" s="36">
        <f t="shared" si="9"/>
        <v>0.14384061237371557</v>
      </c>
      <c r="F27" s="36">
        <f t="shared" si="9"/>
        <v>0.14441538539444473</v>
      </c>
    </row>
  </sheetData>
  <pageMargins left="0.7" right="0.7" top="0.75" bottom="0.75" header="0.3" footer="0.3"/>
  <pageSetup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Sales Forecast</vt:lpstr>
      <vt:lpstr>Initial Fixed Cost</vt:lpstr>
      <vt:lpstr>5 Yr Revenue-Cost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Suhel</dc:creator>
  <cp:lastModifiedBy>Suhel</cp:lastModifiedBy>
  <dcterms:created xsi:type="dcterms:W3CDTF">2014-01-22T12:49:23Z</dcterms:created>
  <dcterms:modified xsi:type="dcterms:W3CDTF">2014-01-24T14:21:49Z</dcterms:modified>
</cp:coreProperties>
</file>